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ghi Consultancy\Desktop\"/>
    </mc:Choice>
  </mc:AlternateContent>
  <bookViews>
    <workbookView xWindow="240" yWindow="30" windowWidth="20115" windowHeight="7755"/>
  </bookViews>
  <sheets>
    <sheet name="Premium Rates_Comparison" sheetId="4" r:id="rId1"/>
    <sheet name="Premium Rates" sheetId="5" r:id="rId2"/>
  </sheets>
  <calcPr calcId="152511" concurrentCalc="0"/>
</workbook>
</file>

<file path=xl/calcChain.xml><?xml version="1.0" encoding="utf-8"?>
<calcChain xmlns="http://schemas.openxmlformats.org/spreadsheetml/2006/main">
  <c r="Q41" i="5" l="1"/>
  <c r="P41" i="5"/>
  <c r="O41" i="5"/>
  <c r="N41" i="5"/>
  <c r="M41" i="5"/>
  <c r="L41" i="5"/>
  <c r="Q40" i="5"/>
  <c r="P40" i="5"/>
  <c r="O40" i="5"/>
  <c r="N40" i="5"/>
  <c r="M40" i="5"/>
  <c r="L40" i="5"/>
  <c r="Q39" i="5"/>
  <c r="P39" i="5"/>
  <c r="O39" i="5"/>
  <c r="N39" i="5"/>
  <c r="M39" i="5"/>
  <c r="L39" i="5"/>
  <c r="P24" i="5"/>
  <c r="L24" i="5"/>
  <c r="P23" i="5"/>
  <c r="N23" i="5"/>
  <c r="M23" i="5"/>
  <c r="L23" i="5"/>
  <c r="P22" i="5"/>
  <c r="O22" i="5"/>
  <c r="N22" i="5"/>
  <c r="M22" i="5"/>
  <c r="L22" i="5"/>
  <c r="Q16" i="5"/>
  <c r="P16" i="5"/>
  <c r="N16" i="5"/>
  <c r="M16" i="5"/>
  <c r="L16" i="5"/>
  <c r="Q15" i="5"/>
  <c r="P15" i="5"/>
  <c r="O15" i="5"/>
  <c r="N15" i="5"/>
  <c r="M15" i="5"/>
  <c r="L15" i="5"/>
  <c r="Q14" i="5"/>
  <c r="P14" i="5"/>
  <c r="O14" i="5"/>
  <c r="N14" i="5"/>
  <c r="M14" i="5"/>
  <c r="L14" i="5"/>
  <c r="Q8" i="5"/>
  <c r="P8" i="5"/>
  <c r="N8" i="5"/>
  <c r="M8" i="5"/>
  <c r="L8" i="5"/>
  <c r="K8" i="5"/>
  <c r="Q7" i="5"/>
  <c r="P7" i="5"/>
  <c r="N7" i="5"/>
  <c r="M7" i="5"/>
  <c r="L7" i="5"/>
  <c r="K7" i="5"/>
  <c r="Q6" i="5"/>
  <c r="N6" i="5"/>
  <c r="M6" i="5"/>
  <c r="L6" i="5"/>
  <c r="K6" i="5"/>
  <c r="G32" i="5"/>
  <c r="E32" i="5"/>
  <c r="D32" i="5"/>
  <c r="C32" i="5"/>
  <c r="B32" i="5"/>
  <c r="H31" i="5"/>
  <c r="G31" i="5"/>
  <c r="F31" i="5"/>
  <c r="E31" i="5"/>
  <c r="D31" i="5"/>
  <c r="C31" i="5"/>
  <c r="B31" i="5"/>
  <c r="G30" i="5"/>
  <c r="F30" i="5"/>
  <c r="E30" i="5"/>
  <c r="D30" i="5"/>
  <c r="C30" i="5"/>
  <c r="B30" i="5"/>
  <c r="H24" i="5"/>
  <c r="G24" i="5"/>
  <c r="E24" i="5"/>
  <c r="D24" i="5"/>
  <c r="C24" i="5"/>
  <c r="B24" i="5"/>
  <c r="H23" i="5"/>
  <c r="G23" i="5"/>
  <c r="F23" i="5"/>
  <c r="E23" i="5"/>
  <c r="D23" i="5"/>
  <c r="C23" i="5"/>
  <c r="B23" i="5"/>
  <c r="G22" i="5"/>
  <c r="F22" i="5"/>
  <c r="E22" i="5"/>
  <c r="D22" i="5"/>
  <c r="C22" i="5"/>
  <c r="B22" i="5"/>
  <c r="G16" i="5"/>
  <c r="C16" i="5"/>
  <c r="B16" i="5"/>
  <c r="G15" i="5"/>
  <c r="E15" i="5"/>
  <c r="D15" i="5"/>
  <c r="C15" i="5"/>
  <c r="B15" i="5"/>
  <c r="F14" i="5"/>
  <c r="E14" i="5"/>
  <c r="D14" i="5"/>
  <c r="C14" i="5"/>
  <c r="B14" i="5"/>
  <c r="O107" i="4"/>
  <c r="K107" i="4"/>
  <c r="K106" i="4"/>
  <c r="K105" i="4"/>
  <c r="O98" i="4"/>
  <c r="K98" i="4"/>
  <c r="K97" i="4"/>
  <c r="K96" i="4"/>
  <c r="O89" i="4"/>
  <c r="K89" i="4"/>
  <c r="K88" i="4"/>
  <c r="K87" i="4"/>
  <c r="K80" i="4"/>
  <c r="H80" i="4"/>
  <c r="Q80" i="4"/>
  <c r="G80" i="4"/>
  <c r="P80" i="4"/>
  <c r="F80" i="4"/>
  <c r="O80" i="4"/>
  <c r="E80" i="4"/>
  <c r="N80" i="4"/>
  <c r="D80" i="4"/>
  <c r="M80" i="4"/>
  <c r="C80" i="4"/>
  <c r="L80" i="4"/>
  <c r="K79" i="4"/>
  <c r="H79" i="4"/>
  <c r="G79" i="4"/>
  <c r="F79" i="4"/>
  <c r="O79" i="4"/>
  <c r="E79" i="4"/>
  <c r="N79" i="4"/>
  <c r="D79" i="4"/>
  <c r="C79" i="4"/>
  <c r="K78" i="4"/>
  <c r="H78" i="4"/>
  <c r="G78" i="4"/>
  <c r="P78" i="4"/>
  <c r="F78" i="4"/>
  <c r="O78" i="4"/>
  <c r="E78" i="4"/>
  <c r="D78" i="4"/>
  <c r="C78" i="4"/>
  <c r="L78" i="4"/>
  <c r="O71" i="4"/>
  <c r="K71" i="4"/>
  <c r="K70" i="4"/>
  <c r="K69" i="4"/>
  <c r="O63" i="4"/>
  <c r="K63" i="4"/>
  <c r="G63" i="4"/>
  <c r="P63" i="4"/>
  <c r="C63" i="4"/>
  <c r="L63" i="4"/>
  <c r="K62" i="4"/>
  <c r="G62" i="4"/>
  <c r="P62" i="4"/>
  <c r="E62" i="4"/>
  <c r="N62" i="4"/>
  <c r="D62" i="4"/>
  <c r="C62" i="4"/>
  <c r="L62" i="4"/>
  <c r="K61" i="4"/>
  <c r="G61" i="4"/>
  <c r="F61" i="4"/>
  <c r="O61" i="4"/>
  <c r="E61" i="4"/>
  <c r="N61" i="4"/>
  <c r="D61" i="4"/>
  <c r="C61" i="4"/>
  <c r="O54" i="4"/>
  <c r="K54" i="4"/>
  <c r="H54" i="4"/>
  <c r="G54" i="4"/>
  <c r="P54" i="4"/>
  <c r="E54" i="4"/>
  <c r="N54" i="4"/>
  <c r="D54" i="4"/>
  <c r="M54" i="4"/>
  <c r="C54" i="4"/>
  <c r="K53" i="4"/>
  <c r="H53" i="4"/>
  <c r="G53" i="4"/>
  <c r="P53" i="4"/>
  <c r="F53" i="4"/>
  <c r="E53" i="4"/>
  <c r="N53" i="4"/>
  <c r="D53" i="4"/>
  <c r="C53" i="4"/>
  <c r="L53" i="4"/>
  <c r="K52" i="4"/>
  <c r="H52" i="4"/>
  <c r="Q52" i="4"/>
  <c r="G52" i="4"/>
  <c r="F52" i="4"/>
  <c r="O52" i="4"/>
  <c r="E52" i="4"/>
  <c r="D52" i="4"/>
  <c r="M52" i="4"/>
  <c r="C52" i="4"/>
  <c r="O45" i="4"/>
  <c r="K45" i="4"/>
  <c r="H45" i="4"/>
  <c r="Q45" i="4"/>
  <c r="G45" i="4"/>
  <c r="E45" i="4"/>
  <c r="N45" i="4"/>
  <c r="D45" i="4"/>
  <c r="M45" i="4"/>
  <c r="C45" i="4"/>
  <c r="B45" i="4"/>
  <c r="H44" i="4"/>
  <c r="G44" i="4"/>
  <c r="P44" i="4"/>
  <c r="E44" i="4"/>
  <c r="N44" i="4"/>
  <c r="D44" i="4"/>
  <c r="C44" i="4"/>
  <c r="B44" i="4"/>
  <c r="K44" i="4"/>
  <c r="H43" i="4"/>
  <c r="Q43" i="4"/>
  <c r="E43" i="4"/>
  <c r="D43" i="4"/>
  <c r="M43" i="4"/>
  <c r="C43" i="4"/>
  <c r="B43" i="4"/>
  <c r="K43" i="4"/>
  <c r="O35" i="4"/>
  <c r="G35" i="4"/>
  <c r="P35" i="4"/>
  <c r="E35" i="4"/>
  <c r="D35" i="4"/>
  <c r="M35" i="4"/>
  <c r="C35" i="4"/>
  <c r="B35" i="4"/>
  <c r="K35" i="4"/>
  <c r="H34" i="4"/>
  <c r="Q34" i="4"/>
  <c r="G34" i="4"/>
  <c r="F34" i="4"/>
  <c r="O34" i="4"/>
  <c r="E34" i="4"/>
  <c r="N34" i="4"/>
  <c r="D34" i="4"/>
  <c r="M34" i="4"/>
  <c r="C34" i="4"/>
  <c r="B34" i="4"/>
  <c r="K34" i="4"/>
  <c r="P33" i="4"/>
  <c r="L33" i="4"/>
  <c r="G33" i="4"/>
  <c r="F33" i="4"/>
  <c r="E33" i="4"/>
  <c r="N33" i="4"/>
  <c r="D33" i="4"/>
  <c r="M33" i="4"/>
  <c r="C33" i="4"/>
  <c r="B33" i="4"/>
  <c r="K33" i="4"/>
  <c r="Q26" i="4"/>
  <c r="O26" i="4"/>
  <c r="H26" i="4"/>
  <c r="G26" i="4"/>
  <c r="P26" i="4"/>
  <c r="E26" i="4"/>
  <c r="N26" i="4"/>
  <c r="D26" i="4"/>
  <c r="C26" i="4"/>
  <c r="B26" i="4"/>
  <c r="K26" i="4"/>
  <c r="H25" i="4"/>
  <c r="Q25" i="4"/>
  <c r="G25" i="4"/>
  <c r="F25" i="4"/>
  <c r="O25" i="4"/>
  <c r="E25" i="4"/>
  <c r="N25" i="4"/>
  <c r="D25" i="4"/>
  <c r="M25" i="4"/>
  <c r="C25" i="4"/>
  <c r="B25" i="4"/>
  <c r="K25" i="4"/>
  <c r="P24" i="4"/>
  <c r="G24" i="4"/>
  <c r="F24" i="4"/>
  <c r="E24" i="4"/>
  <c r="N24" i="4"/>
  <c r="D24" i="4"/>
  <c r="M24" i="4"/>
  <c r="C24" i="4"/>
  <c r="L24" i="4"/>
  <c r="B24" i="4"/>
  <c r="K24" i="4"/>
  <c r="I23" i="4"/>
  <c r="Q18" i="4"/>
  <c r="O18" i="4"/>
  <c r="L18" i="4"/>
  <c r="G18" i="4"/>
  <c r="P18" i="4"/>
  <c r="C18" i="4"/>
  <c r="B18" i="4"/>
  <c r="K18" i="4"/>
  <c r="N17" i="4"/>
  <c r="G17" i="4"/>
  <c r="E17" i="4"/>
  <c r="D17" i="4"/>
  <c r="M17" i="4"/>
  <c r="C17" i="4"/>
  <c r="B17" i="4"/>
  <c r="K17" i="4"/>
  <c r="P16" i="4"/>
  <c r="F16" i="4"/>
  <c r="O16" i="4"/>
  <c r="E16" i="4"/>
  <c r="D16" i="4"/>
  <c r="M16" i="4"/>
  <c r="C16" i="4"/>
  <c r="L16" i="4"/>
  <c r="B16" i="4"/>
  <c r="K16" i="4"/>
  <c r="Q107" i="4"/>
  <c r="N98" i="4"/>
  <c r="M107" i="4"/>
  <c r="Q97" i="4"/>
  <c r="P106" i="4"/>
  <c r="O62" i="4"/>
  <c r="N88" i="4"/>
  <c r="M97" i="4"/>
  <c r="L106" i="4"/>
  <c r="Q87" i="4"/>
  <c r="P96" i="4"/>
  <c r="O105" i="4"/>
  <c r="N78" i="4"/>
  <c r="M87" i="4"/>
  <c r="L96" i="4"/>
  <c r="P17" i="4"/>
  <c r="Q16" i="4"/>
  <c r="Q17" i="4"/>
  <c r="Q24" i="4"/>
  <c r="Q33" i="4"/>
  <c r="O43" i="4"/>
  <c r="N69" i="4"/>
  <c r="O70" i="4"/>
  <c r="L71" i="4"/>
  <c r="P71" i="4"/>
  <c r="N87" i="4"/>
  <c r="O88" i="4"/>
  <c r="L89" i="4"/>
  <c r="P89" i="4"/>
  <c r="M96" i="4"/>
  <c r="Q96" i="4"/>
  <c r="N97" i="4"/>
  <c r="L105" i="4"/>
  <c r="P105" i="4"/>
  <c r="M106" i="4"/>
  <c r="Q106" i="4"/>
  <c r="N107" i="4"/>
  <c r="N16" i="4"/>
  <c r="L25" i="4"/>
  <c r="P25" i="4"/>
  <c r="L34" i="4"/>
  <c r="P34" i="4"/>
  <c r="L35" i="4"/>
  <c r="L43" i="4"/>
  <c r="P43" i="4"/>
  <c r="O44" i="4"/>
  <c r="L52" i="4"/>
  <c r="P52" i="4"/>
  <c r="O53" i="4"/>
  <c r="M62" i="4"/>
  <c r="M63" i="4"/>
  <c r="O69" i="4"/>
  <c r="L70" i="4"/>
  <c r="P70" i="4"/>
  <c r="M71" i="4"/>
  <c r="Q71" i="4"/>
  <c r="O87" i="4"/>
  <c r="L88" i="4"/>
  <c r="P88" i="4"/>
  <c r="M89" i="4"/>
  <c r="Q89" i="4"/>
  <c r="N96" i="4"/>
  <c r="O97" i="4"/>
  <c r="L98" i="4"/>
  <c r="P98" i="4"/>
  <c r="M105" i="4"/>
  <c r="Q105" i="4"/>
  <c r="N106" i="4"/>
  <c r="O17" i="4"/>
  <c r="M18" i="4"/>
  <c r="O24" i="4"/>
  <c r="L26" i="4"/>
  <c r="O33" i="4"/>
  <c r="Q35" i="4"/>
  <c r="L44" i="4"/>
  <c r="L54" i="4"/>
  <c r="L61" i="4"/>
  <c r="P61" i="4"/>
  <c r="N63" i="4"/>
  <c r="L69" i="4"/>
  <c r="P69" i="4"/>
  <c r="M70" i="4"/>
  <c r="Q70" i="4"/>
  <c r="N71" i="4"/>
  <c r="M78" i="4"/>
  <c r="Q78" i="4"/>
  <c r="L79" i="4"/>
  <c r="P79" i="4"/>
  <c r="L87" i="4"/>
  <c r="P87" i="4"/>
  <c r="M88" i="4"/>
  <c r="Q88" i="4"/>
  <c r="N89" i="4"/>
  <c r="O96" i="4"/>
  <c r="L97" i="4"/>
  <c r="P97" i="4"/>
  <c r="M98" i="4"/>
  <c r="Q98" i="4"/>
  <c r="N105" i="4"/>
  <c r="O106" i="4"/>
  <c r="L107" i="4"/>
  <c r="P107" i="4"/>
  <c r="L17" i="4"/>
  <c r="N18" i="4"/>
  <c r="M26" i="4"/>
  <c r="N35" i="4"/>
  <c r="N43" i="4"/>
  <c r="M44" i="4"/>
  <c r="Q44" i="4"/>
  <c r="L45" i="4"/>
  <c r="P45" i="4"/>
  <c r="N52" i="4"/>
  <c r="M53" i="4"/>
  <c r="Q53" i="4"/>
  <c r="Q54" i="4"/>
  <c r="M61" i="4"/>
  <c r="M69" i="4"/>
  <c r="Q69" i="4"/>
  <c r="N70" i="4"/>
  <c r="M79" i="4"/>
  <c r="Q79" i="4"/>
</calcChain>
</file>

<file path=xl/sharedStrings.xml><?xml version="1.0" encoding="utf-8"?>
<sst xmlns="http://schemas.openxmlformats.org/spreadsheetml/2006/main" count="418" uniqueCount="48">
  <si>
    <t>Assumption - Annual Premium excl ST for Non Smoker Male and SA of 50 lacs</t>
  </si>
  <si>
    <t>Offline/ Online Rates</t>
  </si>
  <si>
    <t>FOTP vs Other Players</t>
  </si>
  <si>
    <t>Company Name</t>
  </si>
  <si>
    <t>Future Generali Life Insurance</t>
  </si>
  <si>
    <t>Product Name</t>
  </si>
  <si>
    <t>Policy Term</t>
  </si>
  <si>
    <t>Age</t>
  </si>
  <si>
    <t>65-Age</t>
  </si>
  <si>
    <t>75- Age</t>
  </si>
  <si>
    <t>NA</t>
  </si>
  <si>
    <t>Flexi Online Term Plan - Basic Life Cover (Exclusive of Service Tax)</t>
  </si>
  <si>
    <t>ICICI Prudential</t>
  </si>
  <si>
    <t>Through Ibank Only</t>
  </si>
  <si>
    <t>ICIC Prudential iCare II - Option 1 (exclusive of Service Tax)</t>
  </si>
  <si>
    <t>ICIC Prudential iCare II (exclusive of Service Tax)</t>
  </si>
  <si>
    <t>75-Age</t>
  </si>
  <si>
    <t>Offline Rates</t>
  </si>
  <si>
    <t>ICIC Prudential iProtect Smart- Life Option(exclusive of Service Tax)</t>
  </si>
  <si>
    <t>HDFC Life</t>
  </si>
  <si>
    <t>Online Rates</t>
  </si>
  <si>
    <t>HDFC</t>
  </si>
  <si>
    <t>Click to Protect 3D Plus - Life Option (Exclusive of Service Tax)</t>
  </si>
  <si>
    <t>BHARTI AXA LIFE</t>
  </si>
  <si>
    <t xml:space="preserve">BHARTI AXA </t>
  </si>
  <si>
    <t>BHARTI AXA LIFE ELITE SECURE (exclusive of Service Tax)</t>
  </si>
  <si>
    <t>65- Age</t>
  </si>
  <si>
    <t>Aviva Life Insurance</t>
  </si>
  <si>
    <t>Aviva  i- Life Total - Opt1 Protect (exclusive of Service Tax)</t>
  </si>
  <si>
    <t>Aviva Life Shield Plus (exclusive of Service Tax)</t>
  </si>
  <si>
    <t>AGE</t>
  </si>
  <si>
    <t>65 - Age</t>
  </si>
  <si>
    <t>Aviva Life Shield Platinum (exclusive of Service Tax)</t>
  </si>
  <si>
    <t>PNB Metlife</t>
  </si>
  <si>
    <t>PNB Metlife Mera term Plan (exclusive of Service Tax)</t>
  </si>
  <si>
    <t>Online</t>
  </si>
  <si>
    <t>Max Life Insurance</t>
  </si>
  <si>
    <t>Max Life Super Term Plan (Exclusive of Service Tax)</t>
  </si>
  <si>
    <t>Offline rates</t>
  </si>
  <si>
    <t>Edelweiss Tokio</t>
  </si>
  <si>
    <t>Edelweiss Tokio Life Simply Protect (Exclusive of Service Tax)</t>
  </si>
  <si>
    <t>Canara HSBC</t>
  </si>
  <si>
    <t>Canara HSBC Smart Suraksha Plan (Exclusive of Service Tax)</t>
  </si>
  <si>
    <t>ICICI Prudential- For I Bank</t>
  </si>
  <si>
    <t>HDFC Life- Online Plan</t>
  </si>
  <si>
    <t>Aviva Life Insurance- Online Plan</t>
  </si>
  <si>
    <t>Max Life Insurance-Online Plan</t>
  </si>
  <si>
    <t>PNB Metlife- Online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</si>
</sst>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0" fillId="0" borderId="1" xfId="0" applyBorder="1"/>
    <xf numFmtId="165" fontId="0" fillId="0" borderId="1" xfId="2" applyNumberFormat="1" applyFont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0" fillId="0" borderId="1" xfId="1" applyNumberFormat="1" applyFont="1" applyFill="1" applyBorder="1" applyAlignment="1">
      <alignment horizontal="center"/>
    </xf>
    <xf numFmtId="165" fontId="1" fillId="0" borderId="1" xfId="2" applyNumberFormat="1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2" applyNumberFormat="1" applyFont="1" applyBorder="1"/>
    <xf numFmtId="9" fontId="0" fillId="0" borderId="1" xfId="1" applyFont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2" fillId="0" borderId="1" xfId="0" applyFont="1" applyBorder="1" applyAlignment="1">
      <alignment horizontal="left" wrapText="1"/>
    </xf>
    <xf numFmtId="165" fontId="1" fillId="0" borderId="1" xfId="2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165" fontId="0" fillId="0" borderId="1" xfId="2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workbookViewId="0">
      <selection sqref="A1:H1"/>
    </sheetView>
  </sheetViews>
  <sheetFormatPr defaultRowHeight="15" x14ac:dyDescent="0.25"/>
  <cols>
    <col min="1" max="1" width="15.140625" customWidth="1"/>
    <col min="2" max="2" width="10.5703125" bestFit="1" customWidth="1"/>
    <col min="3" max="5" width="10.85546875" bestFit="1" customWidth="1"/>
    <col min="6" max="6" width="10.5703125" bestFit="1" customWidth="1"/>
    <col min="7" max="7" width="10.85546875" bestFit="1" customWidth="1"/>
    <col min="8" max="8" width="10.5703125" bestFit="1" customWidth="1"/>
    <col min="9" max="9" width="12.85546875" style="24" customWidth="1"/>
    <col min="10" max="10" width="13.85546875" customWidth="1"/>
    <col min="18" max="18" width="4.42578125" style="25" customWidth="1"/>
  </cols>
  <sheetData>
    <row r="1" spans="1:18" s="2" customFormat="1" ht="30" x14ac:dyDescent="0.25">
      <c r="A1" s="41" t="s">
        <v>0</v>
      </c>
      <c r="B1" s="42"/>
      <c r="C1" s="42"/>
      <c r="D1" s="42"/>
      <c r="E1" s="42"/>
      <c r="F1" s="42"/>
      <c r="G1" s="42"/>
      <c r="H1" s="43"/>
      <c r="I1" s="1" t="s">
        <v>1</v>
      </c>
      <c r="J1" s="44" t="s">
        <v>2</v>
      </c>
      <c r="K1" s="45"/>
      <c r="L1" s="45"/>
      <c r="M1" s="45"/>
      <c r="N1" s="45"/>
      <c r="O1" s="45"/>
      <c r="P1" s="45"/>
      <c r="Q1" s="45"/>
    </row>
    <row r="2" spans="1:18" x14ac:dyDescent="0.25">
      <c r="I2" s="3"/>
      <c r="R2"/>
    </row>
    <row r="3" spans="1:18" x14ac:dyDescent="0.25">
      <c r="A3" s="4" t="s">
        <v>3</v>
      </c>
      <c r="B3" s="38" t="s">
        <v>4</v>
      </c>
      <c r="C3" s="38"/>
      <c r="D3" s="38"/>
      <c r="E3" s="38"/>
      <c r="F3" s="38"/>
      <c r="G3" s="38"/>
      <c r="H3" s="38"/>
      <c r="I3" s="31"/>
      <c r="R3"/>
    </row>
    <row r="4" spans="1:18" x14ac:dyDescent="0.25">
      <c r="A4" s="4" t="s">
        <v>5</v>
      </c>
      <c r="B4" s="32" t="s">
        <v>11</v>
      </c>
      <c r="C4" s="33"/>
      <c r="D4" s="33"/>
      <c r="E4" s="33"/>
      <c r="F4" s="33"/>
      <c r="G4" s="33"/>
      <c r="H4" s="34"/>
      <c r="I4" s="3"/>
      <c r="R4"/>
    </row>
    <row r="5" spans="1:18" x14ac:dyDescent="0.25">
      <c r="A5" s="12"/>
      <c r="B5" s="35" t="s">
        <v>6</v>
      </c>
      <c r="C5" s="36"/>
      <c r="D5" s="36"/>
      <c r="E5" s="36"/>
      <c r="F5" s="36"/>
      <c r="G5" s="36"/>
      <c r="H5" s="37"/>
      <c r="I5" s="3"/>
      <c r="R5"/>
    </row>
    <row r="6" spans="1:18" x14ac:dyDescent="0.25">
      <c r="A6" s="8" t="s">
        <v>7</v>
      </c>
      <c r="B6" s="8">
        <v>5</v>
      </c>
      <c r="C6" s="8">
        <v>10</v>
      </c>
      <c r="D6" s="8">
        <v>20</v>
      </c>
      <c r="E6" s="8">
        <v>25</v>
      </c>
      <c r="F6" s="8">
        <v>30</v>
      </c>
      <c r="G6" s="8" t="s">
        <v>8</v>
      </c>
      <c r="H6" s="4" t="s">
        <v>9</v>
      </c>
      <c r="I6" s="3"/>
      <c r="R6"/>
    </row>
    <row r="7" spans="1:18" x14ac:dyDescent="0.25">
      <c r="A7" s="8">
        <v>30</v>
      </c>
      <c r="B7" s="10" t="s">
        <v>10</v>
      </c>
      <c r="C7" s="13">
        <v>3482.6000000000004</v>
      </c>
      <c r="D7" s="13">
        <v>3512.3</v>
      </c>
      <c r="E7" s="13">
        <v>3762.0000000000005</v>
      </c>
      <c r="F7" s="13">
        <v>3942.4000000000005</v>
      </c>
      <c r="G7" s="13">
        <v>4503.4000000000005</v>
      </c>
      <c r="H7" s="13">
        <v>5315.2000000000007</v>
      </c>
      <c r="I7" s="3"/>
      <c r="R7"/>
    </row>
    <row r="8" spans="1:18" x14ac:dyDescent="0.25">
      <c r="A8" s="8">
        <v>40</v>
      </c>
      <c r="B8" s="10" t="s">
        <v>10</v>
      </c>
      <c r="C8" s="13">
        <v>5603.4000000000005</v>
      </c>
      <c r="D8" s="13">
        <v>6542.8</v>
      </c>
      <c r="E8" s="13">
        <v>7400.8</v>
      </c>
      <c r="F8" s="13">
        <v>8237.9000000000015</v>
      </c>
      <c r="G8" s="13">
        <v>7400.8</v>
      </c>
      <c r="H8" s="13">
        <v>8668</v>
      </c>
      <c r="I8" s="3"/>
      <c r="R8"/>
    </row>
    <row r="9" spans="1:18" x14ac:dyDescent="0.25">
      <c r="A9" s="8">
        <v>50</v>
      </c>
      <c r="B9" s="10" t="s">
        <v>10</v>
      </c>
      <c r="C9" s="13">
        <v>11247.5</v>
      </c>
      <c r="D9" s="13">
        <v>15675.000000000002</v>
      </c>
      <c r="E9" s="13">
        <v>22674.300000000003</v>
      </c>
      <c r="F9" s="13" t="s">
        <v>10</v>
      </c>
      <c r="G9" s="13">
        <v>12142.900000000001</v>
      </c>
      <c r="H9" s="13">
        <v>22674.300000000003</v>
      </c>
      <c r="I9" s="3"/>
      <c r="R9"/>
    </row>
    <row r="10" spans="1:18" x14ac:dyDescent="0.25">
      <c r="I10" s="3"/>
      <c r="R10"/>
    </row>
    <row r="11" spans="1:18" x14ac:dyDescent="0.25">
      <c r="I11" s="3"/>
      <c r="R11"/>
    </row>
    <row r="12" spans="1:18" ht="30" x14ac:dyDescent="0.25">
      <c r="A12" s="4" t="s">
        <v>3</v>
      </c>
      <c r="B12" s="32" t="s">
        <v>12</v>
      </c>
      <c r="C12" s="33"/>
      <c r="D12" s="33"/>
      <c r="E12" s="33"/>
      <c r="F12" s="33"/>
      <c r="G12" s="33"/>
      <c r="H12" s="34"/>
      <c r="I12" s="14" t="s">
        <v>13</v>
      </c>
      <c r="J12" s="4" t="s">
        <v>3</v>
      </c>
      <c r="K12" s="32" t="s">
        <v>12</v>
      </c>
      <c r="L12" s="33"/>
      <c r="M12" s="33"/>
      <c r="N12" s="33"/>
      <c r="O12" s="33"/>
      <c r="P12" s="33"/>
      <c r="Q12" s="34"/>
      <c r="R12"/>
    </row>
    <row r="13" spans="1:18" x14ac:dyDescent="0.25">
      <c r="A13" s="4" t="s">
        <v>5</v>
      </c>
      <c r="B13" s="39" t="s">
        <v>14</v>
      </c>
      <c r="C13" s="39"/>
      <c r="D13" s="39"/>
      <c r="E13" s="39"/>
      <c r="F13" s="39"/>
      <c r="G13" s="39"/>
      <c r="H13" s="39"/>
      <c r="I13" s="3"/>
      <c r="J13" s="4" t="s">
        <v>5</v>
      </c>
      <c r="K13" s="39" t="s">
        <v>15</v>
      </c>
      <c r="L13" s="39"/>
      <c r="M13" s="39"/>
      <c r="N13" s="39"/>
      <c r="O13" s="39"/>
      <c r="P13" s="39"/>
      <c r="Q13" s="39"/>
      <c r="R13"/>
    </row>
    <row r="14" spans="1:18" x14ac:dyDescent="0.25">
      <c r="A14" s="12"/>
      <c r="B14" s="39" t="s">
        <v>6</v>
      </c>
      <c r="C14" s="39"/>
      <c r="D14" s="39"/>
      <c r="E14" s="39"/>
      <c r="F14" s="39"/>
      <c r="G14" s="39"/>
      <c r="H14" s="39"/>
      <c r="I14" s="3"/>
      <c r="J14" s="12"/>
      <c r="K14" s="39" t="s">
        <v>6</v>
      </c>
      <c r="L14" s="39"/>
      <c r="M14" s="39"/>
      <c r="N14" s="39"/>
      <c r="O14" s="39"/>
      <c r="P14" s="39"/>
      <c r="Q14" s="39"/>
      <c r="R14"/>
    </row>
    <row r="15" spans="1:18" ht="15" customHeight="1" x14ac:dyDescent="0.25">
      <c r="A15" s="8" t="s">
        <v>7</v>
      </c>
      <c r="B15" s="8">
        <v>5</v>
      </c>
      <c r="C15" s="8">
        <v>10</v>
      </c>
      <c r="D15" s="8">
        <v>20</v>
      </c>
      <c r="E15" s="8">
        <v>25</v>
      </c>
      <c r="F15" s="8">
        <v>30</v>
      </c>
      <c r="G15" s="8" t="s">
        <v>8</v>
      </c>
      <c r="H15" s="4" t="s">
        <v>16</v>
      </c>
      <c r="I15" s="3"/>
      <c r="J15" s="8" t="s">
        <v>7</v>
      </c>
      <c r="K15" s="8">
        <v>5</v>
      </c>
      <c r="L15" s="8">
        <v>10</v>
      </c>
      <c r="M15" s="8">
        <v>20</v>
      </c>
      <c r="N15" s="8">
        <v>25</v>
      </c>
      <c r="O15" s="8">
        <v>30</v>
      </c>
      <c r="P15" s="8" t="s">
        <v>8</v>
      </c>
      <c r="Q15" s="4" t="s">
        <v>16</v>
      </c>
      <c r="R15"/>
    </row>
    <row r="16" spans="1:18" ht="15" customHeight="1" x14ac:dyDescent="0.25">
      <c r="A16" s="8">
        <v>30</v>
      </c>
      <c r="B16" s="9">
        <f>6777/(1.18)</f>
        <v>5743.2203389830511</v>
      </c>
      <c r="C16" s="9">
        <f>6893/(1.18)</f>
        <v>5841.5254237288136</v>
      </c>
      <c r="D16" s="9">
        <f>7945/(1.18)</f>
        <v>6733.0508474576272</v>
      </c>
      <c r="E16" s="9">
        <f>8879/(1.18)</f>
        <v>7524.5762711864409</v>
      </c>
      <c r="F16" s="9">
        <f>10048/(1.18)</f>
        <v>8515.2542372881362</v>
      </c>
      <c r="G16" s="9" t="s">
        <v>10</v>
      </c>
      <c r="H16" s="10" t="s">
        <v>10</v>
      </c>
      <c r="I16" s="3"/>
      <c r="J16" s="8">
        <v>30</v>
      </c>
      <c r="K16" s="11" t="e">
        <f>B16/B7-1</f>
        <v>#VALUE!</v>
      </c>
      <c r="L16" s="11">
        <f t="shared" ref="L16:Q18" si="0">C16/C7-1</f>
        <v>0.67734607009958459</v>
      </c>
      <c r="M16" s="11">
        <f t="shared" si="0"/>
        <v>0.91699195611355155</v>
      </c>
      <c r="N16" s="11">
        <f t="shared" si="0"/>
        <v>1.0001531821335568</v>
      </c>
      <c r="O16" s="11">
        <f t="shared" si="0"/>
        <v>1.1599163548316089</v>
      </c>
      <c r="P16" s="11" t="e">
        <f t="shared" si="0"/>
        <v>#VALUE!</v>
      </c>
      <c r="Q16" s="11" t="e">
        <f t="shared" si="0"/>
        <v>#VALUE!</v>
      </c>
      <c r="R16"/>
    </row>
    <row r="17" spans="1:18" ht="15" customHeight="1" x14ac:dyDescent="0.25">
      <c r="A17" s="8">
        <v>40</v>
      </c>
      <c r="B17" s="9">
        <f>11216/(1.18)</f>
        <v>9505.0847457627115</v>
      </c>
      <c r="C17" s="9">
        <f>12560/(1.18)</f>
        <v>10644.06779661017</v>
      </c>
      <c r="D17" s="9">
        <f>16181/(1.18)</f>
        <v>13712.71186440678</v>
      </c>
      <c r="E17" s="9">
        <f>18518/(1.18)</f>
        <v>15693.220338983052</v>
      </c>
      <c r="F17" s="9" t="s">
        <v>10</v>
      </c>
      <c r="G17" s="9">
        <f>18518/(1.18)</f>
        <v>15693.220338983052</v>
      </c>
      <c r="H17" s="10" t="s">
        <v>10</v>
      </c>
      <c r="I17" s="3"/>
      <c r="J17" s="8">
        <v>40</v>
      </c>
      <c r="K17" s="11" t="e">
        <f t="shared" ref="K17:K18" si="1">B17/B8-1</f>
        <v>#VALUE!</v>
      </c>
      <c r="L17" s="11">
        <f t="shared" si="0"/>
        <v>0.89957308002465819</v>
      </c>
      <c r="M17" s="11">
        <f t="shared" si="0"/>
        <v>1.0958476286004126</v>
      </c>
      <c r="N17" s="11">
        <f t="shared" si="0"/>
        <v>1.1204762105425159</v>
      </c>
      <c r="O17" s="11" t="e">
        <f t="shared" si="0"/>
        <v>#VALUE!</v>
      </c>
      <c r="P17" s="11">
        <f t="shared" si="0"/>
        <v>1.1204762105425159</v>
      </c>
      <c r="Q17" s="11" t="e">
        <f t="shared" si="0"/>
        <v>#VALUE!</v>
      </c>
      <c r="R17"/>
    </row>
    <row r="18" spans="1:18" x14ac:dyDescent="0.25">
      <c r="A18" s="8">
        <v>50</v>
      </c>
      <c r="B18" s="9">
        <f>26052/(1.18)</f>
        <v>22077.966101694918</v>
      </c>
      <c r="C18" s="9">
        <f>29790/(1.18)</f>
        <v>25245.762711864409</v>
      </c>
      <c r="D18" s="9" t="s">
        <v>10</v>
      </c>
      <c r="E18" s="9" t="s">
        <v>10</v>
      </c>
      <c r="F18" s="9" t="s">
        <v>10</v>
      </c>
      <c r="G18" s="9">
        <f>33528/(1.18)</f>
        <v>28413.5593220339</v>
      </c>
      <c r="H18" s="10" t="s">
        <v>10</v>
      </c>
      <c r="I18" s="3"/>
      <c r="J18" s="8">
        <v>50</v>
      </c>
      <c r="K18" s="11" t="e">
        <f t="shared" si="1"/>
        <v>#VALUE!</v>
      </c>
      <c r="L18" s="11">
        <f t="shared" si="0"/>
        <v>1.2445665891855442</v>
      </c>
      <c r="M18" s="11" t="e">
        <f t="shared" si="0"/>
        <v>#VALUE!</v>
      </c>
      <c r="N18" s="11" t="e">
        <f t="shared" si="0"/>
        <v>#VALUE!</v>
      </c>
      <c r="O18" s="11" t="e">
        <f t="shared" si="0"/>
        <v>#VALUE!</v>
      </c>
      <c r="P18" s="11">
        <f t="shared" si="0"/>
        <v>1.3399319208783647</v>
      </c>
      <c r="Q18" s="11" t="e">
        <f t="shared" si="0"/>
        <v>#VALUE!</v>
      </c>
      <c r="R18"/>
    </row>
    <row r="19" spans="1:18" x14ac:dyDescent="0.25">
      <c r="I19" s="3"/>
      <c r="R19"/>
    </row>
    <row r="20" spans="1:18" x14ac:dyDescent="0.25">
      <c r="A20" s="4" t="s">
        <v>3</v>
      </c>
      <c r="B20" s="32" t="s">
        <v>12</v>
      </c>
      <c r="C20" s="33"/>
      <c r="D20" s="33"/>
      <c r="E20" s="33"/>
      <c r="F20" s="33"/>
      <c r="G20" s="33"/>
      <c r="H20" s="34"/>
      <c r="I20" s="14" t="s">
        <v>17</v>
      </c>
      <c r="J20" s="4" t="s">
        <v>3</v>
      </c>
      <c r="K20" s="32" t="s">
        <v>12</v>
      </c>
      <c r="L20" s="33"/>
      <c r="M20" s="33"/>
      <c r="N20" s="33"/>
      <c r="O20" s="33"/>
      <c r="P20" s="33"/>
      <c r="Q20" s="34"/>
      <c r="R20"/>
    </row>
    <row r="21" spans="1:18" x14ac:dyDescent="0.25">
      <c r="A21" s="4" t="s">
        <v>5</v>
      </c>
      <c r="B21" s="39" t="s">
        <v>18</v>
      </c>
      <c r="C21" s="39"/>
      <c r="D21" s="39"/>
      <c r="E21" s="39"/>
      <c r="F21" s="39"/>
      <c r="G21" s="39"/>
      <c r="H21" s="39"/>
      <c r="I21" s="3"/>
      <c r="J21" s="4" t="s">
        <v>5</v>
      </c>
      <c r="K21" s="39" t="s">
        <v>18</v>
      </c>
      <c r="L21" s="39"/>
      <c r="M21" s="39"/>
      <c r="N21" s="39"/>
      <c r="O21" s="39"/>
      <c r="P21" s="39"/>
      <c r="Q21" s="39"/>
      <c r="R21"/>
    </row>
    <row r="22" spans="1:18" ht="15" customHeight="1" x14ac:dyDescent="0.25">
      <c r="A22" s="12"/>
      <c r="B22" s="39" t="s">
        <v>6</v>
      </c>
      <c r="C22" s="39"/>
      <c r="D22" s="39"/>
      <c r="E22" s="39"/>
      <c r="F22" s="39"/>
      <c r="G22" s="39"/>
      <c r="H22" s="39"/>
      <c r="I22" s="3"/>
      <c r="J22" s="12"/>
      <c r="K22" s="39" t="s">
        <v>6</v>
      </c>
      <c r="L22" s="39"/>
      <c r="M22" s="39"/>
      <c r="N22" s="39"/>
      <c r="O22" s="39"/>
      <c r="P22" s="39"/>
      <c r="Q22" s="39"/>
      <c r="R22"/>
    </row>
    <row r="23" spans="1:18" x14ac:dyDescent="0.25">
      <c r="A23" s="8" t="s">
        <v>7</v>
      </c>
      <c r="B23" s="8">
        <v>5</v>
      </c>
      <c r="C23" s="8">
        <v>10</v>
      </c>
      <c r="D23" s="8">
        <v>20</v>
      </c>
      <c r="E23" s="8">
        <v>25</v>
      </c>
      <c r="F23" s="8">
        <v>30</v>
      </c>
      <c r="G23" s="8" t="s">
        <v>8</v>
      </c>
      <c r="H23" s="4" t="s">
        <v>16</v>
      </c>
      <c r="I23" s="3">
        <f>1.18</f>
        <v>1.18</v>
      </c>
      <c r="J23" s="8" t="s">
        <v>7</v>
      </c>
      <c r="K23" s="8">
        <v>5</v>
      </c>
      <c r="L23" s="8">
        <v>10</v>
      </c>
      <c r="M23" s="8">
        <v>20</v>
      </c>
      <c r="N23" s="8">
        <v>25</v>
      </c>
      <c r="O23" s="8">
        <v>30</v>
      </c>
      <c r="P23" s="8" t="s">
        <v>8</v>
      </c>
      <c r="Q23" s="4" t="s">
        <v>16</v>
      </c>
      <c r="R23"/>
    </row>
    <row r="24" spans="1:18" ht="15" customHeight="1" x14ac:dyDescent="0.25">
      <c r="A24" s="8">
        <v>30</v>
      </c>
      <c r="B24" s="16">
        <f>6001/(1.18)</f>
        <v>5085.593220338983</v>
      </c>
      <c r="C24" s="16">
        <f>4551/(1.18)</f>
        <v>3856.7796610169494</v>
      </c>
      <c r="D24" s="16">
        <f>5299/(1.18)</f>
        <v>4490.6779661016953</v>
      </c>
      <c r="E24" s="16">
        <f>5847/(1.18)</f>
        <v>4955.0847457627124</v>
      </c>
      <c r="F24" s="16">
        <f>6229/(1.18)</f>
        <v>5278.8135593220341</v>
      </c>
      <c r="G24" s="16">
        <f>7448/(1.18)</f>
        <v>6311.8644067796613</v>
      </c>
      <c r="H24" s="16" t="s">
        <v>10</v>
      </c>
      <c r="I24" s="3"/>
      <c r="J24" s="8">
        <v>30</v>
      </c>
      <c r="K24" s="17" t="e">
        <f>B24/B7-1</f>
        <v>#VALUE!</v>
      </c>
      <c r="L24" s="11">
        <f t="shared" ref="L24:Q26" si="2">C24/C7-1</f>
        <v>0.10744261787657172</v>
      </c>
      <c r="M24" s="11">
        <f t="shared" si="2"/>
        <v>0.27855763064137329</v>
      </c>
      <c r="N24" s="11">
        <f t="shared" si="2"/>
        <v>0.31714108074500569</v>
      </c>
      <c r="O24" s="11">
        <f t="shared" si="2"/>
        <v>0.338984770526084</v>
      </c>
      <c r="P24" s="11">
        <f t="shared" si="2"/>
        <v>0.40157756512405296</v>
      </c>
      <c r="Q24" s="11" t="e">
        <f t="shared" si="2"/>
        <v>#VALUE!</v>
      </c>
      <c r="R24"/>
    </row>
    <row r="25" spans="1:18" x14ac:dyDescent="0.25">
      <c r="A25" s="8">
        <v>40</v>
      </c>
      <c r="B25" s="16">
        <f>8480/(1.18)</f>
        <v>7186.4406779661022</v>
      </c>
      <c r="C25" s="16">
        <f>7784/(1.18)</f>
        <v>6596.610169491526</v>
      </c>
      <c r="D25" s="16">
        <f>9557/(1.18)</f>
        <v>8099.1525423728817</v>
      </c>
      <c r="E25" s="16">
        <f>11264/(1.18)</f>
        <v>9545.7627118644068</v>
      </c>
      <c r="F25" s="16">
        <f>12876/(1.18)</f>
        <v>10911.864406779661</v>
      </c>
      <c r="G25" s="16">
        <f>11264/(1.18)</f>
        <v>9545.7627118644068</v>
      </c>
      <c r="H25" s="16">
        <f>14710/(1.18)</f>
        <v>12466.101694915254</v>
      </c>
      <c r="I25" s="3"/>
      <c r="J25" s="8">
        <v>40</v>
      </c>
      <c r="K25" s="17" t="e">
        <f t="shared" ref="K25:K26" si="3">B25/B8-1</f>
        <v>#VALUE!</v>
      </c>
      <c r="L25" s="11">
        <f t="shared" si="2"/>
        <v>0.17725134195158754</v>
      </c>
      <c r="M25" s="11">
        <f t="shared" si="2"/>
        <v>0.23787255339806834</v>
      </c>
      <c r="N25" s="11">
        <f t="shared" si="2"/>
        <v>0.28982849311755565</v>
      </c>
      <c r="O25" s="11">
        <f t="shared" si="2"/>
        <v>0.32459296747710686</v>
      </c>
      <c r="P25" s="11">
        <f t="shared" si="2"/>
        <v>0.28982849311755565</v>
      </c>
      <c r="Q25" s="11">
        <f t="shared" si="2"/>
        <v>0.43817509170688207</v>
      </c>
      <c r="R25"/>
    </row>
    <row r="26" spans="1:18" x14ac:dyDescent="0.25">
      <c r="A26" s="8">
        <v>50</v>
      </c>
      <c r="B26" s="16">
        <f>17470/(1.18)</f>
        <v>14805.084745762713</v>
      </c>
      <c r="C26" s="16">
        <f>16750/(1.18)</f>
        <v>14194.915254237289</v>
      </c>
      <c r="D26" s="16">
        <f>21138/(1.18)</f>
        <v>17913.5593220339</v>
      </c>
      <c r="E26" s="16">
        <f>24067/(1.18)</f>
        <v>20395.762711864409</v>
      </c>
      <c r="F26" s="16" t="s">
        <v>10</v>
      </c>
      <c r="G26" s="16">
        <f>18287/(1.18)</f>
        <v>15497.457627118645</v>
      </c>
      <c r="H26" s="16">
        <f>24067/(1.18)</f>
        <v>20395.762711864409</v>
      </c>
      <c r="I26" s="3"/>
      <c r="J26" s="8">
        <v>50</v>
      </c>
      <c r="K26" s="17" t="e">
        <f t="shared" si="3"/>
        <v>#VALUE!</v>
      </c>
      <c r="L26" s="11">
        <f t="shared" si="2"/>
        <v>0.26205070053232182</v>
      </c>
      <c r="M26" s="11">
        <f t="shared" si="2"/>
        <v>0.14281080204362984</v>
      </c>
      <c r="N26" s="11">
        <f t="shared" si="2"/>
        <v>-0.10048986244936309</v>
      </c>
      <c r="O26" s="11" t="e">
        <f t="shared" si="2"/>
        <v>#VALUE!</v>
      </c>
      <c r="P26" s="11">
        <f t="shared" si="2"/>
        <v>0.27625671191549328</v>
      </c>
      <c r="Q26" s="11">
        <f t="shared" si="2"/>
        <v>-0.10048986244936309</v>
      </c>
      <c r="R26"/>
    </row>
    <row r="27" spans="1:18" x14ac:dyDescent="0.25">
      <c r="I27" s="3"/>
      <c r="R27"/>
    </row>
    <row r="28" spans="1:18" x14ac:dyDescent="0.25">
      <c r="I28" s="3"/>
      <c r="R28"/>
    </row>
    <row r="29" spans="1:18" x14ac:dyDescent="0.25">
      <c r="A29" s="4" t="s">
        <v>3</v>
      </c>
      <c r="B29" s="32" t="s">
        <v>19</v>
      </c>
      <c r="C29" s="33"/>
      <c r="D29" s="33"/>
      <c r="E29" s="33"/>
      <c r="F29" s="33"/>
      <c r="G29" s="33"/>
      <c r="H29" s="34"/>
      <c r="I29" s="10" t="s">
        <v>20</v>
      </c>
      <c r="J29" s="4" t="s">
        <v>3</v>
      </c>
      <c r="K29" s="32" t="s">
        <v>21</v>
      </c>
      <c r="L29" s="33"/>
      <c r="M29" s="33"/>
      <c r="N29" s="33"/>
      <c r="O29" s="33"/>
      <c r="P29" s="33"/>
      <c r="Q29" s="34"/>
      <c r="R29"/>
    </row>
    <row r="30" spans="1:18" x14ac:dyDescent="0.25">
      <c r="A30" s="4" t="s">
        <v>5</v>
      </c>
      <c r="B30" s="32" t="s">
        <v>22</v>
      </c>
      <c r="C30" s="33"/>
      <c r="D30" s="33"/>
      <c r="E30" s="33"/>
      <c r="F30" s="33"/>
      <c r="G30" s="33"/>
      <c r="H30" s="34"/>
      <c r="I30" s="3"/>
      <c r="J30" s="4" t="s">
        <v>5</v>
      </c>
      <c r="K30" s="32" t="s">
        <v>22</v>
      </c>
      <c r="L30" s="33"/>
      <c r="M30" s="33"/>
      <c r="N30" s="33"/>
      <c r="O30" s="33"/>
      <c r="P30" s="33"/>
      <c r="Q30" s="34"/>
      <c r="R30"/>
    </row>
    <row r="31" spans="1:18" ht="15" customHeight="1" x14ac:dyDescent="0.25">
      <c r="A31" s="12"/>
      <c r="B31" s="35" t="s">
        <v>6</v>
      </c>
      <c r="C31" s="36"/>
      <c r="D31" s="36"/>
      <c r="E31" s="36"/>
      <c r="F31" s="36"/>
      <c r="G31" s="36"/>
      <c r="H31" s="37"/>
      <c r="I31" s="3"/>
      <c r="J31" s="12"/>
      <c r="K31" s="35" t="s">
        <v>6</v>
      </c>
      <c r="L31" s="36"/>
      <c r="M31" s="36"/>
      <c r="N31" s="36"/>
      <c r="O31" s="36"/>
      <c r="P31" s="36"/>
      <c r="Q31" s="37"/>
      <c r="R31"/>
    </row>
    <row r="32" spans="1:18" x14ac:dyDescent="0.25">
      <c r="A32" s="8" t="s">
        <v>7</v>
      </c>
      <c r="B32" s="8">
        <v>5</v>
      </c>
      <c r="C32" s="8">
        <v>10</v>
      </c>
      <c r="D32" s="8">
        <v>20</v>
      </c>
      <c r="E32" s="8">
        <v>25</v>
      </c>
      <c r="F32" s="8">
        <v>30</v>
      </c>
      <c r="G32" s="8" t="s">
        <v>8</v>
      </c>
      <c r="H32" s="4" t="s">
        <v>9</v>
      </c>
      <c r="I32" s="3"/>
      <c r="J32" s="8" t="s">
        <v>7</v>
      </c>
      <c r="K32" s="8">
        <v>5</v>
      </c>
      <c r="L32" s="8">
        <v>10</v>
      </c>
      <c r="M32" s="8">
        <v>20</v>
      </c>
      <c r="N32" s="8">
        <v>25</v>
      </c>
      <c r="O32" s="8">
        <v>30</v>
      </c>
      <c r="P32" s="8" t="s">
        <v>8</v>
      </c>
      <c r="Q32" s="4" t="s">
        <v>9</v>
      </c>
      <c r="R32"/>
    </row>
    <row r="33" spans="1:18" x14ac:dyDescent="0.25">
      <c r="A33" s="8">
        <v>30</v>
      </c>
      <c r="B33" s="18">
        <f>5345/(1.18)</f>
        <v>4529.6610169491523</v>
      </c>
      <c r="C33" s="18">
        <f>4379/(1.18)</f>
        <v>3711.0169491525426</v>
      </c>
      <c r="D33" s="18">
        <f>4720/(1.18)</f>
        <v>4000</v>
      </c>
      <c r="E33" s="18">
        <f>5210/(1.18)</f>
        <v>4415.2542372881362</v>
      </c>
      <c r="F33" s="18">
        <f>5550/(1.18)</f>
        <v>4703.3898305084749</v>
      </c>
      <c r="G33" s="18">
        <f>6635/(1.18)</f>
        <v>5622.8813559322034</v>
      </c>
      <c r="H33" s="18" t="s">
        <v>10</v>
      </c>
      <c r="I33" s="3"/>
      <c r="J33" s="8">
        <v>30</v>
      </c>
      <c r="K33" s="19" t="e">
        <f>B33/B7-1</f>
        <v>#VALUE!</v>
      </c>
      <c r="L33" s="19">
        <f t="shared" ref="L33:Q35" si="4">C33/C7-1</f>
        <v>6.5588051786751977E-2</v>
      </c>
      <c r="M33" s="19">
        <f t="shared" si="4"/>
        <v>0.13885488141673541</v>
      </c>
      <c r="N33" s="19">
        <f t="shared" si="4"/>
        <v>0.17364546445723961</v>
      </c>
      <c r="O33" s="19">
        <f t="shared" si="4"/>
        <v>0.19302704710543694</v>
      </c>
      <c r="P33" s="19">
        <f t="shared" si="4"/>
        <v>0.24858581425860526</v>
      </c>
      <c r="Q33" s="19" t="e">
        <f t="shared" si="4"/>
        <v>#VALUE!</v>
      </c>
      <c r="R33"/>
    </row>
    <row r="34" spans="1:18" x14ac:dyDescent="0.25">
      <c r="A34" s="8">
        <v>40</v>
      </c>
      <c r="B34" s="18">
        <f>7556/(1.18)</f>
        <v>6403.3898305084749</v>
      </c>
      <c r="C34" s="18">
        <f>6935/(1.18)</f>
        <v>5877.1186440677966</v>
      </c>
      <c r="D34" s="18">
        <f>8514/(1.18)</f>
        <v>7215.2542372881362</v>
      </c>
      <c r="E34" s="18">
        <f>10036/(1.18)</f>
        <v>8505.0847457627115</v>
      </c>
      <c r="F34" s="18">
        <f>11472/(1.18)</f>
        <v>9722.033898305086</v>
      </c>
      <c r="G34" s="18">
        <f>10036/(1.18)</f>
        <v>8505.0847457627115</v>
      </c>
      <c r="H34" s="18">
        <f>13106/(1.18)</f>
        <v>11106.77966101695</v>
      </c>
      <c r="I34" s="3"/>
      <c r="J34" s="8">
        <v>40</v>
      </c>
      <c r="K34" s="19" t="e">
        <f>B34/B8-1</f>
        <v>#VALUE!</v>
      </c>
      <c r="L34" s="19">
        <f t="shared" si="4"/>
        <v>4.8848671176035197E-2</v>
      </c>
      <c r="M34" s="19">
        <f t="shared" si="4"/>
        <v>0.10277774611605683</v>
      </c>
      <c r="N34" s="19">
        <f t="shared" si="4"/>
        <v>0.14921153736929949</v>
      </c>
      <c r="O34" s="19">
        <f t="shared" si="4"/>
        <v>0.18015925154530699</v>
      </c>
      <c r="P34" s="19">
        <f t="shared" si="4"/>
        <v>0.14921153736929949</v>
      </c>
      <c r="Q34" s="19">
        <f t="shared" si="4"/>
        <v>0.28135436790689305</v>
      </c>
      <c r="R34"/>
    </row>
    <row r="35" spans="1:18" x14ac:dyDescent="0.25">
      <c r="A35" s="8">
        <v>50</v>
      </c>
      <c r="B35" s="18">
        <f>15564/(1.18)</f>
        <v>13189.830508474577</v>
      </c>
      <c r="C35" s="18">
        <f>14922/(1.18)</f>
        <v>12645.762711864407</v>
      </c>
      <c r="D35" s="18">
        <f>18835/(1.18)</f>
        <v>15961.864406779661</v>
      </c>
      <c r="E35" s="18">
        <f>21443/(1.18)</f>
        <v>18172.033898305086</v>
      </c>
      <c r="F35" s="18" t="s">
        <v>10</v>
      </c>
      <c r="G35" s="18">
        <f>16293/(1.18)</f>
        <v>13807.627118644068</v>
      </c>
      <c r="H35" s="18" t="s">
        <v>10</v>
      </c>
      <c r="I35" s="3"/>
      <c r="J35" s="8">
        <v>50</v>
      </c>
      <c r="K35" s="19" t="e">
        <f>B35/B9-1</f>
        <v>#VALUE!</v>
      </c>
      <c r="L35" s="19">
        <f t="shared" si="4"/>
        <v>0.12431764497571973</v>
      </c>
      <c r="M35" s="19">
        <f t="shared" si="4"/>
        <v>1.8300759603168126E-2</v>
      </c>
      <c r="N35" s="19">
        <f t="shared" si="4"/>
        <v>-0.19856251799151092</v>
      </c>
      <c r="O35" s="19" t="e">
        <f t="shared" si="4"/>
        <v>#VALUE!</v>
      </c>
      <c r="P35" s="19">
        <f t="shared" si="4"/>
        <v>0.1370946906129562</v>
      </c>
      <c r="Q35" s="19" t="e">
        <f t="shared" si="4"/>
        <v>#VALUE!</v>
      </c>
      <c r="R35"/>
    </row>
    <row r="36" spans="1:18" x14ac:dyDescent="0.25">
      <c r="I36" s="3"/>
      <c r="R36"/>
    </row>
    <row r="37" spans="1:18" x14ac:dyDescent="0.25">
      <c r="I37" s="3"/>
      <c r="R37"/>
    </row>
    <row r="38" spans="1:18" x14ac:dyDescent="0.25">
      <c r="I38" s="3"/>
      <c r="R38"/>
    </row>
    <row r="39" spans="1:18" x14ac:dyDescent="0.25">
      <c r="A39" s="4" t="s">
        <v>3</v>
      </c>
      <c r="B39" s="38" t="s">
        <v>23</v>
      </c>
      <c r="C39" s="38"/>
      <c r="D39" s="38"/>
      <c r="E39" s="38"/>
      <c r="F39" s="38"/>
      <c r="G39" s="38"/>
      <c r="H39" s="38"/>
      <c r="I39" s="3"/>
      <c r="J39" s="4" t="s">
        <v>3</v>
      </c>
      <c r="K39" s="38" t="s">
        <v>24</v>
      </c>
      <c r="L39" s="38"/>
      <c r="M39" s="38"/>
      <c r="N39" s="38"/>
      <c r="O39" s="38"/>
      <c r="P39" s="38"/>
      <c r="Q39" s="38"/>
      <c r="R39"/>
    </row>
    <row r="40" spans="1:18" x14ac:dyDescent="0.25">
      <c r="A40" s="4" t="s">
        <v>5</v>
      </c>
      <c r="B40" s="39" t="s">
        <v>25</v>
      </c>
      <c r="C40" s="40"/>
      <c r="D40" s="40"/>
      <c r="E40" s="40"/>
      <c r="F40" s="40"/>
      <c r="G40" s="40"/>
      <c r="H40" s="40"/>
      <c r="I40" s="3" t="s">
        <v>17</v>
      </c>
      <c r="J40" s="4" t="s">
        <v>5</v>
      </c>
      <c r="K40" s="39" t="s">
        <v>25</v>
      </c>
      <c r="L40" s="40"/>
      <c r="M40" s="40"/>
      <c r="N40" s="40"/>
      <c r="O40" s="40"/>
      <c r="P40" s="40"/>
      <c r="Q40" s="40"/>
      <c r="R40"/>
    </row>
    <row r="41" spans="1:18" x14ac:dyDescent="0.25">
      <c r="A41" s="12"/>
      <c r="B41" s="39" t="s">
        <v>6</v>
      </c>
      <c r="C41" s="39"/>
      <c r="D41" s="39"/>
      <c r="E41" s="39"/>
      <c r="F41" s="39"/>
      <c r="G41" s="39"/>
      <c r="H41" s="39"/>
      <c r="I41" s="3"/>
      <c r="J41" s="12"/>
      <c r="K41" s="39" t="s">
        <v>6</v>
      </c>
      <c r="L41" s="39"/>
      <c r="M41" s="39"/>
      <c r="N41" s="39"/>
      <c r="O41" s="39"/>
      <c r="P41" s="39"/>
      <c r="Q41" s="39"/>
      <c r="R41"/>
    </row>
    <row r="42" spans="1:18" x14ac:dyDescent="0.25">
      <c r="A42" s="8" t="s">
        <v>7</v>
      </c>
      <c r="B42" s="8">
        <v>5</v>
      </c>
      <c r="C42" s="8">
        <v>10</v>
      </c>
      <c r="D42" s="8">
        <v>20</v>
      </c>
      <c r="E42" s="8">
        <v>25</v>
      </c>
      <c r="F42" s="8">
        <v>30</v>
      </c>
      <c r="G42" s="8" t="s">
        <v>26</v>
      </c>
      <c r="H42" s="8" t="s">
        <v>16</v>
      </c>
      <c r="I42" s="3"/>
      <c r="J42" s="8" t="s">
        <v>7</v>
      </c>
      <c r="K42" s="8">
        <v>5</v>
      </c>
      <c r="L42" s="8">
        <v>10</v>
      </c>
      <c r="M42" s="8">
        <v>20</v>
      </c>
      <c r="N42" s="8">
        <v>25</v>
      </c>
      <c r="O42" s="8">
        <v>30</v>
      </c>
      <c r="P42" s="8" t="s">
        <v>26</v>
      </c>
      <c r="Q42" s="8" t="s">
        <v>16</v>
      </c>
      <c r="R42"/>
    </row>
    <row r="43" spans="1:18" x14ac:dyDescent="0.25">
      <c r="A43" s="8">
        <v>30</v>
      </c>
      <c r="B43" s="18">
        <f>7100/(1.18)</f>
        <v>6016.9491525423728</v>
      </c>
      <c r="C43" s="18">
        <f>7100/(1.18)</f>
        <v>6016.9491525423728</v>
      </c>
      <c r="D43" s="18">
        <f>7950/(1.18)</f>
        <v>6737.2881355932204</v>
      </c>
      <c r="E43" s="18">
        <f>9200/(1.18)</f>
        <v>7796.610169491526</v>
      </c>
      <c r="F43" s="18" t="s">
        <v>10</v>
      </c>
      <c r="G43" s="18" t="s">
        <v>10</v>
      </c>
      <c r="H43" s="18">
        <f>17850/(1.18)</f>
        <v>15127.118644067798</v>
      </c>
      <c r="I43" s="3"/>
      <c r="J43" s="8">
        <v>30</v>
      </c>
      <c r="K43" s="19" t="e">
        <f t="shared" ref="K43:Q45" si="5">B43/B7-1</f>
        <v>#VALUE!</v>
      </c>
      <c r="L43" s="19">
        <f t="shared" si="5"/>
        <v>0.72771755370768165</v>
      </c>
      <c r="M43" s="19">
        <f t="shared" si="5"/>
        <v>0.91819837018284889</v>
      </c>
      <c r="N43" s="19">
        <f t="shared" si="5"/>
        <v>1.0724641598861044</v>
      </c>
      <c r="O43" s="19" t="e">
        <f t="shared" si="5"/>
        <v>#VALUE!</v>
      </c>
      <c r="P43" s="19" t="e">
        <f t="shared" si="5"/>
        <v>#VALUE!</v>
      </c>
      <c r="Q43" s="19">
        <f t="shared" si="5"/>
        <v>1.8460111837875894</v>
      </c>
      <c r="R43"/>
    </row>
    <row r="44" spans="1:18" x14ac:dyDescent="0.25">
      <c r="A44" s="8">
        <v>40</v>
      </c>
      <c r="B44" s="18">
        <f>10400/(1.18)</f>
        <v>8813.5593220338997</v>
      </c>
      <c r="C44" s="18">
        <f>11800/(1.18)</f>
        <v>10000</v>
      </c>
      <c r="D44" s="18">
        <f>16350/(1.18)</f>
        <v>13855.932203389832</v>
      </c>
      <c r="E44" s="18">
        <f>19550/(1.18)</f>
        <v>16567.796610169491</v>
      </c>
      <c r="F44" s="18" t="s">
        <v>10</v>
      </c>
      <c r="G44" s="18">
        <f>19550/(1.18)</f>
        <v>16567.796610169491</v>
      </c>
      <c r="H44" s="18">
        <f>28200/(1.18)</f>
        <v>23898.305084745763</v>
      </c>
      <c r="I44" s="3"/>
      <c r="J44" s="8">
        <v>40</v>
      </c>
      <c r="K44" s="19" t="e">
        <f t="shared" si="5"/>
        <v>#VALUE!</v>
      </c>
      <c r="L44" s="19">
        <f t="shared" si="5"/>
        <v>0.78463075989577735</v>
      </c>
      <c r="M44" s="19">
        <f t="shared" si="5"/>
        <v>1.1177373912376707</v>
      </c>
      <c r="N44" s="19">
        <f t="shared" si="5"/>
        <v>1.238649417653428</v>
      </c>
      <c r="O44" s="19" t="e">
        <f t="shared" si="5"/>
        <v>#VALUE!</v>
      </c>
      <c r="P44" s="19">
        <f t="shared" si="5"/>
        <v>1.238649417653428</v>
      </c>
      <c r="Q44" s="19">
        <f t="shared" si="5"/>
        <v>1.7570725755359673</v>
      </c>
      <c r="R44"/>
    </row>
    <row r="45" spans="1:18" x14ac:dyDescent="0.25">
      <c r="A45" s="8">
        <v>50</v>
      </c>
      <c r="B45" s="18">
        <f>21100/(1.18)</f>
        <v>17881.355932203391</v>
      </c>
      <c r="C45" s="18">
        <f>26050/(1.18)</f>
        <v>22076.271186440677</v>
      </c>
      <c r="D45" s="18">
        <f>38150/(1.18)</f>
        <v>32330.508474576272</v>
      </c>
      <c r="E45" s="18">
        <f>46550/(1.18)</f>
        <v>39449.152542372882</v>
      </c>
      <c r="F45" s="18" t="s">
        <v>10</v>
      </c>
      <c r="G45" s="18">
        <f>31550/(1.18)</f>
        <v>26737.288135593222</v>
      </c>
      <c r="H45" s="18">
        <f>46550/(1.18)</f>
        <v>39449.152542372882</v>
      </c>
      <c r="I45" s="3"/>
      <c r="J45" s="8">
        <v>50</v>
      </c>
      <c r="K45" s="19" t="e">
        <f t="shared" si="5"/>
        <v>#VALUE!</v>
      </c>
      <c r="L45" s="19">
        <f t="shared" si="5"/>
        <v>0.96277138799205852</v>
      </c>
      <c r="M45" s="19">
        <f t="shared" si="5"/>
        <v>1.0625523747736056</v>
      </c>
      <c r="N45" s="19">
        <f t="shared" si="5"/>
        <v>0.73981787937765997</v>
      </c>
      <c r="O45" s="19" t="e">
        <f t="shared" si="5"/>
        <v>#VALUE!</v>
      </c>
      <c r="P45" s="19">
        <f t="shared" si="5"/>
        <v>1.2018865456845744</v>
      </c>
      <c r="Q45" s="19">
        <f t="shared" si="5"/>
        <v>0.73981787937765997</v>
      </c>
      <c r="R45"/>
    </row>
    <row r="46" spans="1:18" x14ac:dyDescent="0.25">
      <c r="I46" s="3"/>
      <c r="R46"/>
    </row>
    <row r="47" spans="1:18" x14ac:dyDescent="0.25">
      <c r="I47" s="3"/>
      <c r="R47"/>
    </row>
    <row r="48" spans="1:18" x14ac:dyDescent="0.25">
      <c r="A48" s="4" t="s">
        <v>3</v>
      </c>
      <c r="B48" s="32" t="s">
        <v>27</v>
      </c>
      <c r="C48" s="33"/>
      <c r="D48" s="33"/>
      <c r="E48" s="33"/>
      <c r="F48" s="33"/>
      <c r="G48" s="33"/>
      <c r="H48" s="34"/>
      <c r="I48" s="3"/>
      <c r="J48" s="4" t="s">
        <v>3</v>
      </c>
      <c r="K48" s="32" t="s">
        <v>27</v>
      </c>
      <c r="L48" s="33"/>
      <c r="M48" s="33"/>
      <c r="N48" s="33"/>
      <c r="O48" s="33"/>
      <c r="P48" s="33"/>
      <c r="Q48" s="34"/>
      <c r="R48"/>
    </row>
    <row r="49" spans="1:18" x14ac:dyDescent="0.25">
      <c r="A49" s="4" t="s">
        <v>5</v>
      </c>
      <c r="B49" s="32" t="s">
        <v>28</v>
      </c>
      <c r="C49" s="33"/>
      <c r="D49" s="33"/>
      <c r="E49" s="33"/>
      <c r="F49" s="33"/>
      <c r="G49" s="33"/>
      <c r="H49" s="34"/>
      <c r="I49" s="3" t="s">
        <v>20</v>
      </c>
      <c r="J49" s="4" t="s">
        <v>5</v>
      </c>
      <c r="K49" s="32" t="s">
        <v>28</v>
      </c>
      <c r="L49" s="33"/>
      <c r="M49" s="33"/>
      <c r="N49" s="33"/>
      <c r="O49" s="33"/>
      <c r="P49" s="33"/>
      <c r="Q49" s="34"/>
      <c r="R49"/>
    </row>
    <row r="50" spans="1:18" x14ac:dyDescent="0.25">
      <c r="A50" s="12"/>
      <c r="B50" s="35" t="s">
        <v>6</v>
      </c>
      <c r="C50" s="36"/>
      <c r="D50" s="36"/>
      <c r="E50" s="36"/>
      <c r="F50" s="36"/>
      <c r="G50" s="36"/>
      <c r="H50" s="37"/>
      <c r="I50" s="3"/>
      <c r="J50" s="12"/>
      <c r="K50" s="35" t="s">
        <v>6</v>
      </c>
      <c r="L50" s="36"/>
      <c r="M50" s="36"/>
      <c r="N50" s="36"/>
      <c r="O50" s="36"/>
      <c r="P50" s="36"/>
      <c r="Q50" s="37"/>
      <c r="R50"/>
    </row>
    <row r="51" spans="1:18" x14ac:dyDescent="0.25">
      <c r="A51" s="8" t="s">
        <v>7</v>
      </c>
      <c r="B51" s="8">
        <v>5</v>
      </c>
      <c r="C51" s="8">
        <v>10</v>
      </c>
      <c r="D51" s="8">
        <v>20</v>
      </c>
      <c r="E51" s="8">
        <v>25</v>
      </c>
      <c r="F51" s="8">
        <v>30</v>
      </c>
      <c r="G51" s="8" t="s">
        <v>8</v>
      </c>
      <c r="H51" s="4" t="s">
        <v>9</v>
      </c>
      <c r="I51" s="3"/>
      <c r="J51" s="8" t="s">
        <v>7</v>
      </c>
      <c r="K51" s="8">
        <v>5</v>
      </c>
      <c r="L51" s="8">
        <v>10</v>
      </c>
      <c r="M51" s="8">
        <v>20</v>
      </c>
      <c r="N51" s="8">
        <v>25</v>
      </c>
      <c r="O51" s="8">
        <v>30</v>
      </c>
      <c r="P51" s="8" t="s">
        <v>8</v>
      </c>
      <c r="Q51" s="4" t="s">
        <v>9</v>
      </c>
      <c r="R51"/>
    </row>
    <row r="52" spans="1:18" x14ac:dyDescent="0.25">
      <c r="A52" s="8">
        <v>30</v>
      </c>
      <c r="B52" s="13" t="s">
        <v>10</v>
      </c>
      <c r="C52" s="13">
        <f>4626/(1.18)</f>
        <v>3920.3389830508477</v>
      </c>
      <c r="D52" s="13">
        <f>4840/(1.18)</f>
        <v>4101.6949152542375</v>
      </c>
      <c r="E52" s="13">
        <f>5186/(1.18)</f>
        <v>4394.9152542372885</v>
      </c>
      <c r="F52" s="13">
        <f>5751/(1.18)</f>
        <v>4873.7288135593226</v>
      </c>
      <c r="G52" s="13">
        <f>6256/(1.18)</f>
        <v>5301.6949152542375</v>
      </c>
      <c r="H52" s="13">
        <f>7514/(1.18)</f>
        <v>6367.7966101694919</v>
      </c>
      <c r="I52" s="3"/>
      <c r="J52" s="8">
        <v>30</v>
      </c>
      <c r="K52" s="21" t="e">
        <f t="shared" ref="K52:Q54" si="6">B52/B7-1</f>
        <v>#VALUE!</v>
      </c>
      <c r="L52" s="21">
        <f t="shared" si="6"/>
        <v>0.12569315541573745</v>
      </c>
      <c r="M52" s="21">
        <f t="shared" si="6"/>
        <v>0.16780881907987277</v>
      </c>
      <c r="N52" s="21">
        <f t="shared" si="6"/>
        <v>0.16823903621405845</v>
      </c>
      <c r="O52" s="21">
        <f t="shared" si="6"/>
        <v>0.2362339725952014</v>
      </c>
      <c r="P52" s="21">
        <f t="shared" si="6"/>
        <v>0.17726493654888231</v>
      </c>
      <c r="Q52" s="21">
        <f t="shared" si="6"/>
        <v>0.1980351840324901</v>
      </c>
      <c r="R52"/>
    </row>
    <row r="53" spans="1:18" x14ac:dyDescent="0.25">
      <c r="A53" s="8">
        <v>40</v>
      </c>
      <c r="B53" s="13" t="s">
        <v>10</v>
      </c>
      <c r="C53" s="13">
        <f>6831/(1.18)</f>
        <v>5788.9830508474579</v>
      </c>
      <c r="D53" s="13">
        <f>8330/(1.18)</f>
        <v>7059.3220338983056</v>
      </c>
      <c r="E53" s="13">
        <f>9216/(1.18)</f>
        <v>7810.1694915254238</v>
      </c>
      <c r="F53" s="13">
        <f>10434/(1.18)</f>
        <v>8842.3728813559319</v>
      </c>
      <c r="G53" s="13">
        <f>9216/(1.18)</f>
        <v>7810.1694915254238</v>
      </c>
      <c r="H53" s="13">
        <f>11591/(1.18)</f>
        <v>9822.8813559322043</v>
      </c>
      <c r="I53" s="3"/>
      <c r="J53" s="8">
        <v>40</v>
      </c>
      <c r="K53" s="21" t="e">
        <f t="shared" si="6"/>
        <v>#VALUE!</v>
      </c>
      <c r="L53" s="21">
        <f t="shared" si="6"/>
        <v>3.3119722105767524E-2</v>
      </c>
      <c r="M53" s="21">
        <f t="shared" si="6"/>
        <v>7.8945105138213734E-2</v>
      </c>
      <c r="N53" s="21">
        <f t="shared" si="6"/>
        <v>5.5314221641636463E-2</v>
      </c>
      <c r="O53" s="21">
        <f t="shared" si="6"/>
        <v>7.3377059852138382E-2</v>
      </c>
      <c r="P53" s="21">
        <f t="shared" si="6"/>
        <v>5.5314221641636463E-2</v>
      </c>
      <c r="Q53" s="21">
        <f t="shared" si="6"/>
        <v>0.13323504337012038</v>
      </c>
      <c r="R53"/>
    </row>
    <row r="54" spans="1:18" x14ac:dyDescent="0.25">
      <c r="A54" s="8">
        <v>50</v>
      </c>
      <c r="B54" s="13" t="s">
        <v>10</v>
      </c>
      <c r="C54" s="13">
        <f>13863/(1.18)</f>
        <v>11748.305084745763</v>
      </c>
      <c r="D54" s="13">
        <f>17047/(1.18)</f>
        <v>14446.610169491527</v>
      </c>
      <c r="E54" s="13">
        <f>19049/(1.18)</f>
        <v>16143.220338983052</v>
      </c>
      <c r="F54" s="13" t="s">
        <v>10</v>
      </c>
      <c r="G54" s="13">
        <f>15280/(1.18)</f>
        <v>12949.152542372882</v>
      </c>
      <c r="H54" s="13">
        <f>19049/(1.18)</f>
        <v>16143.220338983052</v>
      </c>
      <c r="I54" s="3"/>
      <c r="J54" s="8">
        <v>50</v>
      </c>
      <c r="K54" s="21" t="e">
        <f t="shared" si="6"/>
        <v>#VALUE!</v>
      </c>
      <c r="L54" s="21">
        <f t="shared" si="6"/>
        <v>4.4525902177885213E-2</v>
      </c>
      <c r="M54" s="21">
        <f t="shared" si="6"/>
        <v>-7.8366177384910696E-2</v>
      </c>
      <c r="N54" s="21">
        <f t="shared" si="6"/>
        <v>-0.28803886607379059</v>
      </c>
      <c r="O54" s="21" t="e">
        <f t="shared" si="6"/>
        <v>#VALUE!</v>
      </c>
      <c r="P54" s="21">
        <f t="shared" si="6"/>
        <v>6.6397033852941156E-2</v>
      </c>
      <c r="Q54" s="21">
        <f t="shared" si="6"/>
        <v>-0.28803886607379059</v>
      </c>
      <c r="R54"/>
    </row>
    <row r="55" spans="1:18" x14ac:dyDescent="0.25">
      <c r="I55" s="3"/>
      <c r="R55"/>
    </row>
    <row r="56" spans="1:18" x14ac:dyDescent="0.25">
      <c r="I56" s="3"/>
      <c r="R56"/>
    </row>
    <row r="57" spans="1:18" x14ac:dyDescent="0.25">
      <c r="A57" s="4" t="s">
        <v>3</v>
      </c>
      <c r="B57" s="32" t="s">
        <v>27</v>
      </c>
      <c r="C57" s="33"/>
      <c r="D57" s="33"/>
      <c r="E57" s="33"/>
      <c r="F57" s="33"/>
      <c r="G57" s="33"/>
      <c r="H57" s="33"/>
      <c r="I57" s="3"/>
      <c r="J57" s="4" t="s">
        <v>3</v>
      </c>
      <c r="K57" s="32" t="s">
        <v>27</v>
      </c>
      <c r="L57" s="33"/>
      <c r="M57" s="33"/>
      <c r="N57" s="33"/>
      <c r="O57" s="33"/>
      <c r="P57" s="33"/>
      <c r="Q57" s="33"/>
      <c r="R57"/>
    </row>
    <row r="58" spans="1:18" x14ac:dyDescent="0.25">
      <c r="A58" s="4" t="s">
        <v>5</v>
      </c>
      <c r="B58" s="32" t="s">
        <v>29</v>
      </c>
      <c r="C58" s="33"/>
      <c r="D58" s="33"/>
      <c r="E58" s="33"/>
      <c r="F58" s="33"/>
      <c r="G58" s="33"/>
      <c r="H58" s="34"/>
      <c r="I58" s="3" t="s">
        <v>17</v>
      </c>
      <c r="J58" s="4" t="s">
        <v>5</v>
      </c>
      <c r="K58" s="32" t="s">
        <v>29</v>
      </c>
      <c r="L58" s="33"/>
      <c r="M58" s="33"/>
      <c r="N58" s="33"/>
      <c r="O58" s="33"/>
      <c r="P58" s="33"/>
      <c r="Q58" s="34"/>
      <c r="R58"/>
    </row>
    <row r="59" spans="1:18" x14ac:dyDescent="0.25">
      <c r="A59" s="12"/>
      <c r="B59" s="35" t="s">
        <v>6</v>
      </c>
      <c r="C59" s="36"/>
      <c r="D59" s="36"/>
      <c r="E59" s="36"/>
      <c r="F59" s="36"/>
      <c r="G59" s="36"/>
      <c r="H59" s="37"/>
      <c r="I59" s="3"/>
      <c r="J59" s="12"/>
      <c r="K59" s="35" t="s">
        <v>6</v>
      </c>
      <c r="L59" s="36"/>
      <c r="M59" s="36"/>
      <c r="N59" s="36"/>
      <c r="O59" s="36"/>
      <c r="P59" s="36"/>
      <c r="Q59" s="37"/>
      <c r="R59"/>
    </row>
    <row r="60" spans="1:18" x14ac:dyDescent="0.25">
      <c r="A60" s="8" t="s">
        <v>30</v>
      </c>
      <c r="B60" s="8">
        <v>5</v>
      </c>
      <c r="C60" s="8">
        <v>10</v>
      </c>
      <c r="D60" s="4">
        <v>20</v>
      </c>
      <c r="E60" s="8">
        <v>25</v>
      </c>
      <c r="F60" s="8">
        <v>30</v>
      </c>
      <c r="G60" s="8" t="s">
        <v>31</v>
      </c>
      <c r="H60" s="8" t="s">
        <v>16</v>
      </c>
      <c r="I60" s="3"/>
      <c r="J60" s="8" t="s">
        <v>30</v>
      </c>
      <c r="K60" s="8">
        <v>5</v>
      </c>
      <c r="L60" s="8">
        <v>10</v>
      </c>
      <c r="M60" s="4">
        <v>20</v>
      </c>
      <c r="N60" s="8">
        <v>25</v>
      </c>
      <c r="O60" s="8">
        <v>30</v>
      </c>
      <c r="P60" s="8" t="s">
        <v>31</v>
      </c>
      <c r="Q60" s="8" t="s">
        <v>16</v>
      </c>
      <c r="R60"/>
    </row>
    <row r="61" spans="1:18" x14ac:dyDescent="0.25">
      <c r="A61" s="8">
        <v>30</v>
      </c>
      <c r="B61" s="16" t="s">
        <v>10</v>
      </c>
      <c r="C61" s="16">
        <f>7906/(1.18)</f>
        <v>6700</v>
      </c>
      <c r="D61" s="16">
        <f>10207/(1.18)</f>
        <v>8650</v>
      </c>
      <c r="E61" s="16">
        <f>12154/(1.18)</f>
        <v>10300</v>
      </c>
      <c r="F61" s="16">
        <f>14691/(1.18)</f>
        <v>12450</v>
      </c>
      <c r="G61" s="16">
        <f>14691/(1.18)</f>
        <v>12450</v>
      </c>
      <c r="H61" s="16" t="s">
        <v>10</v>
      </c>
      <c r="I61" s="3"/>
      <c r="J61" s="8">
        <v>30</v>
      </c>
      <c r="K61" s="22" t="e">
        <f t="shared" ref="K61:P63" si="7">B61/B7-1</f>
        <v>#VALUE!</v>
      </c>
      <c r="L61" s="21">
        <f t="shared" si="7"/>
        <v>0.92384999712858185</v>
      </c>
      <c r="M61" s="21">
        <f t="shared" si="7"/>
        <v>1.4627736810636902</v>
      </c>
      <c r="N61" s="21">
        <f t="shared" si="7"/>
        <v>1.7379053694843165</v>
      </c>
      <c r="O61" s="21">
        <f t="shared" si="7"/>
        <v>2.1579748376623371</v>
      </c>
      <c r="P61" s="21">
        <f t="shared" si="7"/>
        <v>1.7645778744948259</v>
      </c>
      <c r="Q61" s="13" t="s">
        <v>10</v>
      </c>
      <c r="R61"/>
    </row>
    <row r="62" spans="1:18" x14ac:dyDescent="0.25">
      <c r="A62" s="8">
        <v>40</v>
      </c>
      <c r="B62" s="16" t="s">
        <v>10</v>
      </c>
      <c r="C62" s="16">
        <f>15458/(1.18)</f>
        <v>13100</v>
      </c>
      <c r="D62" s="16">
        <f>23010/(1.18)</f>
        <v>19500</v>
      </c>
      <c r="E62" s="16">
        <f>27789/(1.18)</f>
        <v>23550</v>
      </c>
      <c r="F62" s="16" t="s">
        <v>10</v>
      </c>
      <c r="G62" s="16">
        <f>27789/(1.18)</f>
        <v>23550</v>
      </c>
      <c r="H62" s="16" t="s">
        <v>10</v>
      </c>
      <c r="I62" s="3"/>
      <c r="J62" s="8">
        <v>40</v>
      </c>
      <c r="K62" s="22" t="e">
        <f t="shared" si="7"/>
        <v>#VALUE!</v>
      </c>
      <c r="L62" s="21">
        <f t="shared" si="7"/>
        <v>1.3378662954634684</v>
      </c>
      <c r="M62" s="21">
        <f t="shared" si="7"/>
        <v>1.9803753744574188</v>
      </c>
      <c r="N62" s="21">
        <f t="shared" si="7"/>
        <v>2.1820884228732029</v>
      </c>
      <c r="O62" s="21" t="e">
        <f t="shared" si="7"/>
        <v>#VALUE!</v>
      </c>
      <c r="P62" s="21">
        <f t="shared" si="7"/>
        <v>2.1820884228732029</v>
      </c>
      <c r="Q62" s="13" t="s">
        <v>10</v>
      </c>
      <c r="R62"/>
    </row>
    <row r="63" spans="1:18" x14ac:dyDescent="0.25">
      <c r="A63" s="8">
        <v>50</v>
      </c>
      <c r="B63" s="16" t="s">
        <v>10</v>
      </c>
      <c r="C63" s="16">
        <f>39058/(1.18)</f>
        <v>33100</v>
      </c>
      <c r="D63" s="16" t="s">
        <v>10</v>
      </c>
      <c r="E63" s="16" t="s">
        <v>10</v>
      </c>
      <c r="F63" s="16" t="s">
        <v>10</v>
      </c>
      <c r="G63" s="16">
        <f>46905/(1.18)</f>
        <v>39750</v>
      </c>
      <c r="H63" s="16" t="s">
        <v>10</v>
      </c>
      <c r="I63" s="3"/>
      <c r="J63" s="8">
        <v>50</v>
      </c>
      <c r="K63" s="22" t="e">
        <f t="shared" si="7"/>
        <v>#VALUE!</v>
      </c>
      <c r="L63" s="21">
        <f t="shared" si="7"/>
        <v>1.9428761947099353</v>
      </c>
      <c r="M63" s="21" t="e">
        <f t="shared" si="7"/>
        <v>#VALUE!</v>
      </c>
      <c r="N63" s="21" t="e">
        <f t="shared" si="7"/>
        <v>#VALUE!</v>
      </c>
      <c r="O63" s="21" t="e">
        <f t="shared" si="7"/>
        <v>#VALUE!</v>
      </c>
      <c r="P63" s="21">
        <f t="shared" si="7"/>
        <v>2.2735178581722648</v>
      </c>
      <c r="Q63" s="13" t="s">
        <v>10</v>
      </c>
      <c r="R63"/>
    </row>
    <row r="64" spans="1:18" x14ac:dyDescent="0.25">
      <c r="I64" s="3"/>
      <c r="R64"/>
    </row>
    <row r="65" spans="1:18" x14ac:dyDescent="0.25">
      <c r="A65" s="4" t="s">
        <v>3</v>
      </c>
      <c r="B65" s="32" t="s">
        <v>27</v>
      </c>
      <c r="C65" s="33"/>
      <c r="D65" s="33"/>
      <c r="E65" s="33"/>
      <c r="F65" s="33"/>
      <c r="G65" s="33"/>
      <c r="H65" s="33"/>
      <c r="I65" s="3"/>
      <c r="J65" s="4" t="s">
        <v>3</v>
      </c>
      <c r="K65" s="32" t="s">
        <v>27</v>
      </c>
      <c r="L65" s="33"/>
      <c r="M65" s="33"/>
      <c r="N65" s="33"/>
      <c r="O65" s="33"/>
      <c r="P65" s="33"/>
      <c r="Q65" s="33"/>
      <c r="R65"/>
    </row>
    <row r="66" spans="1:18" x14ac:dyDescent="0.25">
      <c r="A66" s="4" t="s">
        <v>5</v>
      </c>
      <c r="B66" s="32" t="s">
        <v>32</v>
      </c>
      <c r="C66" s="33"/>
      <c r="D66" s="33"/>
      <c r="E66" s="33"/>
      <c r="F66" s="33"/>
      <c r="G66" s="33"/>
      <c r="H66" s="34"/>
      <c r="I66" s="3" t="s">
        <v>17</v>
      </c>
      <c r="J66" s="4" t="s">
        <v>5</v>
      </c>
      <c r="K66" s="32" t="s">
        <v>32</v>
      </c>
      <c r="L66" s="33"/>
      <c r="M66" s="33"/>
      <c r="N66" s="33"/>
      <c r="O66" s="33"/>
      <c r="P66" s="33"/>
      <c r="Q66" s="34"/>
      <c r="R66"/>
    </row>
    <row r="67" spans="1:18" x14ac:dyDescent="0.25">
      <c r="A67" s="12"/>
      <c r="B67" s="35" t="s">
        <v>6</v>
      </c>
      <c r="C67" s="36"/>
      <c r="D67" s="36"/>
      <c r="E67" s="36"/>
      <c r="F67" s="36"/>
      <c r="G67" s="36"/>
      <c r="H67" s="37"/>
      <c r="I67" s="3"/>
      <c r="J67" s="12"/>
      <c r="K67" s="35" t="s">
        <v>6</v>
      </c>
      <c r="L67" s="36"/>
      <c r="M67" s="36"/>
      <c r="N67" s="36"/>
      <c r="O67" s="36"/>
      <c r="P67" s="36"/>
      <c r="Q67" s="37"/>
      <c r="R67"/>
    </row>
    <row r="68" spans="1:18" x14ac:dyDescent="0.25">
      <c r="A68" s="8" t="s">
        <v>30</v>
      </c>
      <c r="B68" s="8">
        <v>5</v>
      </c>
      <c r="C68" s="8">
        <v>10</v>
      </c>
      <c r="D68" s="4">
        <v>20</v>
      </c>
      <c r="E68" s="8">
        <v>25</v>
      </c>
      <c r="F68" s="8">
        <v>30</v>
      </c>
      <c r="G68" s="8" t="s">
        <v>31</v>
      </c>
      <c r="H68" s="8" t="s">
        <v>16</v>
      </c>
      <c r="I68" s="3"/>
      <c r="J68" s="8" t="s">
        <v>30</v>
      </c>
      <c r="K68" s="8">
        <v>5</v>
      </c>
      <c r="L68" s="8">
        <v>10</v>
      </c>
      <c r="M68" s="4">
        <v>20</v>
      </c>
      <c r="N68" s="8">
        <v>25</v>
      </c>
      <c r="O68" s="8">
        <v>30</v>
      </c>
      <c r="P68" s="8" t="s">
        <v>31</v>
      </c>
      <c r="Q68" s="8" t="s">
        <v>16</v>
      </c>
      <c r="R68"/>
    </row>
    <row r="69" spans="1:18" x14ac:dyDescent="0.25">
      <c r="A69" s="8">
        <v>30</v>
      </c>
      <c r="B69" s="16" t="s">
        <v>10</v>
      </c>
      <c r="C69" s="16">
        <v>5450</v>
      </c>
      <c r="D69" s="16">
        <v>6200</v>
      </c>
      <c r="E69" s="16">
        <v>6550</v>
      </c>
      <c r="F69" s="16">
        <v>6800</v>
      </c>
      <c r="G69" s="16">
        <v>7000</v>
      </c>
      <c r="H69" s="16" t="s">
        <v>10</v>
      </c>
      <c r="I69" s="3"/>
      <c r="J69" s="8">
        <v>30</v>
      </c>
      <c r="K69" s="23" t="e">
        <f t="shared" ref="K69:Q71" si="8">B69/B7-1</f>
        <v>#VALUE!</v>
      </c>
      <c r="L69" s="23">
        <f t="shared" si="8"/>
        <v>0.5649227588583241</v>
      </c>
      <c r="M69" s="23">
        <f t="shared" si="8"/>
        <v>0.76522506619593988</v>
      </c>
      <c r="N69" s="23">
        <f t="shared" si="8"/>
        <v>0.74109516214779347</v>
      </c>
      <c r="O69" s="23">
        <f t="shared" si="8"/>
        <v>0.724837662337662</v>
      </c>
      <c r="P69" s="23">
        <f t="shared" si="8"/>
        <v>0.55438113425411895</v>
      </c>
      <c r="Q69" s="23" t="e">
        <f t="shared" si="8"/>
        <v>#VALUE!</v>
      </c>
      <c r="R69"/>
    </row>
    <row r="70" spans="1:18" x14ac:dyDescent="0.25">
      <c r="A70" s="8">
        <v>40</v>
      </c>
      <c r="B70" s="16" t="s">
        <v>10</v>
      </c>
      <c r="C70" s="16">
        <v>9900</v>
      </c>
      <c r="D70" s="16">
        <v>12300</v>
      </c>
      <c r="E70" s="16">
        <v>13100</v>
      </c>
      <c r="F70" s="16">
        <v>13800</v>
      </c>
      <c r="G70" s="16">
        <v>13100</v>
      </c>
      <c r="H70" s="16" t="s">
        <v>10</v>
      </c>
      <c r="I70" s="3"/>
      <c r="J70" s="8">
        <v>40</v>
      </c>
      <c r="K70" s="23" t="e">
        <f t="shared" si="8"/>
        <v>#VALUE!</v>
      </c>
      <c r="L70" s="23">
        <f t="shared" si="8"/>
        <v>0.76678445229681969</v>
      </c>
      <c r="M70" s="23">
        <f t="shared" si="8"/>
        <v>0.87992908235006406</v>
      </c>
      <c r="N70" s="23">
        <f t="shared" si="8"/>
        <v>0.77007891038806608</v>
      </c>
      <c r="O70" s="23">
        <f t="shared" si="8"/>
        <v>0.67518420956797209</v>
      </c>
      <c r="P70" s="23">
        <f t="shared" si="8"/>
        <v>0.77007891038806608</v>
      </c>
      <c r="Q70" s="23" t="e">
        <f t="shared" si="8"/>
        <v>#VALUE!</v>
      </c>
      <c r="R70"/>
    </row>
    <row r="71" spans="1:18" x14ac:dyDescent="0.25">
      <c r="A71" s="8">
        <v>50</v>
      </c>
      <c r="B71" s="16" t="s">
        <v>10</v>
      </c>
      <c r="C71" s="16">
        <v>23050</v>
      </c>
      <c r="D71" s="16">
        <v>28650</v>
      </c>
      <c r="E71" s="16" t="s">
        <v>10</v>
      </c>
      <c r="F71" s="16" t="s">
        <v>10</v>
      </c>
      <c r="G71" s="16">
        <v>25800</v>
      </c>
      <c r="H71" s="16" t="s">
        <v>10</v>
      </c>
      <c r="I71" s="3"/>
      <c r="J71" s="8">
        <v>50</v>
      </c>
      <c r="K71" s="23" t="e">
        <f t="shared" si="8"/>
        <v>#VALUE!</v>
      </c>
      <c r="L71" s="23">
        <f t="shared" si="8"/>
        <v>1.0493442987330517</v>
      </c>
      <c r="M71" s="23">
        <f t="shared" si="8"/>
        <v>0.82775119617224857</v>
      </c>
      <c r="N71" s="23" t="e">
        <f t="shared" si="8"/>
        <v>#VALUE!</v>
      </c>
      <c r="O71" s="23" t="e">
        <f t="shared" si="8"/>
        <v>#VALUE!</v>
      </c>
      <c r="P71" s="23">
        <f t="shared" si="8"/>
        <v>1.1246983834174702</v>
      </c>
      <c r="Q71" s="23" t="e">
        <f t="shared" si="8"/>
        <v>#VALUE!</v>
      </c>
      <c r="R71"/>
    </row>
    <row r="72" spans="1:18" x14ac:dyDescent="0.25">
      <c r="I72" s="3"/>
      <c r="R72"/>
    </row>
    <row r="73" spans="1:18" x14ac:dyDescent="0.25">
      <c r="I73" s="3"/>
      <c r="R73"/>
    </row>
    <row r="74" spans="1:18" x14ac:dyDescent="0.25">
      <c r="A74" s="4" t="s">
        <v>3</v>
      </c>
      <c r="B74" s="38" t="s">
        <v>33</v>
      </c>
      <c r="C74" s="38"/>
      <c r="D74" s="38"/>
      <c r="E74" s="38"/>
      <c r="F74" s="38"/>
      <c r="G74" s="38"/>
      <c r="H74" s="38"/>
      <c r="I74" s="3"/>
      <c r="J74" s="4" t="s">
        <v>3</v>
      </c>
      <c r="K74" s="38" t="s">
        <v>33</v>
      </c>
      <c r="L74" s="38"/>
      <c r="M74" s="38"/>
      <c r="N74" s="38"/>
      <c r="O74" s="38"/>
      <c r="P74" s="38"/>
      <c r="Q74" s="38"/>
      <c r="R74"/>
    </row>
    <row r="75" spans="1:18" x14ac:dyDescent="0.25">
      <c r="A75" s="4" t="s">
        <v>5</v>
      </c>
      <c r="B75" s="39" t="s">
        <v>34</v>
      </c>
      <c r="C75" s="39"/>
      <c r="D75" s="39"/>
      <c r="E75" s="39"/>
      <c r="F75" s="39"/>
      <c r="G75" s="39"/>
      <c r="H75" s="39"/>
      <c r="I75" s="3" t="s">
        <v>35</v>
      </c>
      <c r="J75" s="4" t="s">
        <v>5</v>
      </c>
      <c r="K75" s="39" t="s">
        <v>34</v>
      </c>
      <c r="L75" s="39"/>
      <c r="M75" s="39"/>
      <c r="N75" s="39"/>
      <c r="O75" s="39"/>
      <c r="P75" s="39"/>
      <c r="Q75" s="39"/>
      <c r="R75"/>
    </row>
    <row r="76" spans="1:18" x14ac:dyDescent="0.25">
      <c r="A76" s="12"/>
      <c r="B76" s="39" t="s">
        <v>6</v>
      </c>
      <c r="C76" s="39"/>
      <c r="D76" s="39"/>
      <c r="E76" s="39"/>
      <c r="F76" s="39"/>
      <c r="G76" s="39"/>
      <c r="H76" s="39"/>
      <c r="I76" s="3"/>
      <c r="J76" s="12"/>
      <c r="K76" s="39" t="s">
        <v>6</v>
      </c>
      <c r="L76" s="39"/>
      <c r="M76" s="39"/>
      <c r="N76" s="39"/>
      <c r="O76" s="39"/>
      <c r="P76" s="39"/>
      <c r="Q76" s="39"/>
      <c r="R76"/>
    </row>
    <row r="77" spans="1:18" x14ac:dyDescent="0.25">
      <c r="A77" s="8" t="s">
        <v>7</v>
      </c>
      <c r="B77" s="8">
        <v>5</v>
      </c>
      <c r="C77" s="8">
        <v>10</v>
      </c>
      <c r="D77" s="8">
        <v>20</v>
      </c>
      <c r="E77" s="8">
        <v>25</v>
      </c>
      <c r="F77" s="8">
        <v>30</v>
      </c>
      <c r="G77" s="8" t="s">
        <v>26</v>
      </c>
      <c r="H77" s="8" t="s">
        <v>16</v>
      </c>
      <c r="I77" s="3"/>
      <c r="J77" s="8" t="s">
        <v>7</v>
      </c>
      <c r="K77" s="8">
        <v>5</v>
      </c>
      <c r="L77" s="8">
        <v>10</v>
      </c>
      <c r="M77" s="8">
        <v>20</v>
      </c>
      <c r="N77" s="8">
        <v>25</v>
      </c>
      <c r="O77" s="8">
        <v>30</v>
      </c>
      <c r="P77" s="8" t="s">
        <v>26</v>
      </c>
      <c r="Q77" s="8" t="s">
        <v>16</v>
      </c>
      <c r="R77"/>
    </row>
    <row r="78" spans="1:18" x14ac:dyDescent="0.25">
      <c r="A78" s="8">
        <v>30</v>
      </c>
      <c r="B78" s="13" t="s">
        <v>10</v>
      </c>
      <c r="C78" s="13">
        <f>4248/(1.18)</f>
        <v>3600</v>
      </c>
      <c r="D78" s="13">
        <f>4661/(1.18)</f>
        <v>3950</v>
      </c>
      <c r="E78" s="13">
        <f>5074/(1.18)</f>
        <v>4300</v>
      </c>
      <c r="F78" s="13">
        <f>5428/(1.18)</f>
        <v>4600</v>
      </c>
      <c r="G78" s="13">
        <f>5841/(1.18)</f>
        <v>4950</v>
      </c>
      <c r="H78" s="13">
        <f>6844/(1.18)</f>
        <v>5800</v>
      </c>
      <c r="I78" s="3"/>
      <c r="J78" s="8">
        <v>30</v>
      </c>
      <c r="K78" s="21" t="e">
        <f t="shared" ref="K78:Q80" si="9">B78/B7-1</f>
        <v>#VALUE!</v>
      </c>
      <c r="L78" s="21">
        <f t="shared" si="9"/>
        <v>3.3710446218342405E-2</v>
      </c>
      <c r="M78" s="21">
        <f t="shared" si="9"/>
        <v>0.12461919539902633</v>
      </c>
      <c r="N78" s="21">
        <f t="shared" si="9"/>
        <v>0.1430090377458797</v>
      </c>
      <c r="O78" s="21">
        <f t="shared" si="9"/>
        <v>0.16680194805194781</v>
      </c>
      <c r="P78" s="21">
        <f t="shared" si="9"/>
        <v>9.9169516365412713E-2</v>
      </c>
      <c r="Q78" s="21">
        <f t="shared" si="9"/>
        <v>9.1210114388922126E-2</v>
      </c>
      <c r="R78"/>
    </row>
    <row r="79" spans="1:18" x14ac:dyDescent="0.25">
      <c r="A79" s="8">
        <v>40</v>
      </c>
      <c r="B79" s="13" t="s">
        <v>10</v>
      </c>
      <c r="C79" s="13">
        <f>6431/(1.18)</f>
        <v>5450</v>
      </c>
      <c r="D79" s="13">
        <f>8201/(1.18)</f>
        <v>6950</v>
      </c>
      <c r="E79" s="13">
        <f>9086/(1.18)</f>
        <v>7700</v>
      </c>
      <c r="F79" s="13">
        <f>9971/(1.18)</f>
        <v>8450</v>
      </c>
      <c r="G79" s="13">
        <f>9086/(1.18)</f>
        <v>7700</v>
      </c>
      <c r="H79" s="13">
        <f>10797/(1.18)</f>
        <v>9150</v>
      </c>
      <c r="I79" s="3"/>
      <c r="J79" s="8">
        <v>40</v>
      </c>
      <c r="K79" s="21" t="e">
        <f t="shared" si="9"/>
        <v>#VALUE!</v>
      </c>
      <c r="L79" s="21">
        <f t="shared" si="9"/>
        <v>-2.7376235856801268E-2</v>
      </c>
      <c r="M79" s="21">
        <f t="shared" si="9"/>
        <v>6.22363514091826E-2</v>
      </c>
      <c r="N79" s="21">
        <f t="shared" si="9"/>
        <v>4.0428061831153439E-2</v>
      </c>
      <c r="O79" s="21">
        <f t="shared" si="9"/>
        <v>2.5746852960098821E-2</v>
      </c>
      <c r="P79" s="21">
        <f t="shared" si="9"/>
        <v>4.0428061831153439E-2</v>
      </c>
      <c r="Q79" s="21">
        <f t="shared" si="9"/>
        <v>5.5606829718504835E-2</v>
      </c>
      <c r="R79"/>
    </row>
    <row r="80" spans="1:18" x14ac:dyDescent="0.25">
      <c r="A80" s="8">
        <v>50</v>
      </c>
      <c r="B80" s="13" t="s">
        <v>10</v>
      </c>
      <c r="C80" s="13">
        <f>13393/(1.18)</f>
        <v>11350</v>
      </c>
      <c r="D80" s="13">
        <f>16874/(1.18)</f>
        <v>14300</v>
      </c>
      <c r="E80" s="13">
        <f>18703/(1.18)</f>
        <v>15850</v>
      </c>
      <c r="F80" s="13">
        <f>20296/(1.18)</f>
        <v>17200</v>
      </c>
      <c r="G80" s="13">
        <f>15104/(1.18)</f>
        <v>12800</v>
      </c>
      <c r="H80" s="13">
        <f>18703/(1.18)</f>
        <v>15850</v>
      </c>
      <c r="I80" s="3"/>
      <c r="J80" s="8">
        <v>50</v>
      </c>
      <c r="K80" s="21" t="e">
        <f t="shared" si="9"/>
        <v>#VALUE!</v>
      </c>
      <c r="L80" s="21">
        <f t="shared" si="9"/>
        <v>9.1131362525005422E-3</v>
      </c>
      <c r="M80" s="21">
        <f t="shared" si="9"/>
        <v>-8.7719298245614086E-2</v>
      </c>
      <c r="N80" s="21">
        <f t="shared" si="9"/>
        <v>-0.3009707025134184</v>
      </c>
      <c r="O80" s="21" t="e">
        <f t="shared" si="9"/>
        <v>#VALUE!</v>
      </c>
      <c r="P80" s="21">
        <f t="shared" si="9"/>
        <v>5.4113926656729427E-2</v>
      </c>
      <c r="Q80" s="21">
        <f t="shared" si="9"/>
        <v>-0.3009707025134184</v>
      </c>
      <c r="R80"/>
    </row>
    <row r="81" spans="1:18" x14ac:dyDescent="0.25">
      <c r="I81" s="3"/>
      <c r="R81"/>
    </row>
    <row r="82" spans="1:18" x14ac:dyDescent="0.25">
      <c r="I82" s="3"/>
      <c r="R82"/>
    </row>
    <row r="83" spans="1:18" x14ac:dyDescent="0.25">
      <c r="A83" s="4" t="s">
        <v>3</v>
      </c>
      <c r="B83" s="38" t="s">
        <v>36</v>
      </c>
      <c r="C83" s="38"/>
      <c r="D83" s="38"/>
      <c r="E83" s="38"/>
      <c r="F83" s="38"/>
      <c r="G83" s="38"/>
      <c r="H83" s="38"/>
      <c r="I83" s="3"/>
      <c r="J83" s="4" t="s">
        <v>3</v>
      </c>
      <c r="K83" s="38" t="s">
        <v>36</v>
      </c>
      <c r="L83" s="38"/>
      <c r="M83" s="38"/>
      <c r="N83" s="38"/>
      <c r="O83" s="38"/>
      <c r="P83" s="38"/>
      <c r="Q83" s="38"/>
      <c r="R83"/>
    </row>
    <row r="84" spans="1:18" x14ac:dyDescent="0.25">
      <c r="A84" s="4" t="s">
        <v>5</v>
      </c>
      <c r="B84" s="39" t="s">
        <v>37</v>
      </c>
      <c r="C84" s="39"/>
      <c r="D84" s="39"/>
      <c r="E84" s="39"/>
      <c r="F84" s="39"/>
      <c r="G84" s="39"/>
      <c r="H84" s="39"/>
      <c r="I84" s="3" t="s">
        <v>38</v>
      </c>
      <c r="J84" s="4" t="s">
        <v>5</v>
      </c>
      <c r="K84" s="39" t="s">
        <v>37</v>
      </c>
      <c r="L84" s="39"/>
      <c r="M84" s="39"/>
      <c r="N84" s="39"/>
      <c r="O84" s="39"/>
      <c r="P84" s="39"/>
      <c r="Q84" s="39"/>
      <c r="R84"/>
    </row>
    <row r="85" spans="1:18" x14ac:dyDescent="0.25">
      <c r="A85" s="12"/>
      <c r="B85" s="39" t="s">
        <v>6</v>
      </c>
      <c r="C85" s="39"/>
      <c r="D85" s="39"/>
      <c r="E85" s="39"/>
      <c r="F85" s="39"/>
      <c r="G85" s="39"/>
      <c r="H85" s="39"/>
      <c r="I85" s="3"/>
      <c r="J85" s="12"/>
      <c r="K85" s="39" t="s">
        <v>6</v>
      </c>
      <c r="L85" s="39"/>
      <c r="M85" s="39"/>
      <c r="N85" s="39"/>
      <c r="O85" s="39"/>
      <c r="P85" s="39"/>
      <c r="Q85" s="39"/>
      <c r="R85"/>
    </row>
    <row r="86" spans="1:18" x14ac:dyDescent="0.25">
      <c r="A86" s="8" t="s">
        <v>7</v>
      </c>
      <c r="B86" s="8">
        <v>5</v>
      </c>
      <c r="C86" s="8">
        <v>10</v>
      </c>
      <c r="D86" s="8">
        <v>20</v>
      </c>
      <c r="E86" s="8">
        <v>25</v>
      </c>
      <c r="F86" s="8">
        <v>30</v>
      </c>
      <c r="G86" s="8" t="s">
        <v>26</v>
      </c>
      <c r="H86" s="8" t="s">
        <v>16</v>
      </c>
      <c r="I86" s="3"/>
      <c r="J86" s="8" t="s">
        <v>7</v>
      </c>
      <c r="K86" s="8">
        <v>5</v>
      </c>
      <c r="L86" s="8">
        <v>10</v>
      </c>
      <c r="M86" s="8">
        <v>20</v>
      </c>
      <c r="N86" s="8">
        <v>25</v>
      </c>
      <c r="O86" s="8">
        <v>30</v>
      </c>
      <c r="P86" s="8" t="s">
        <v>26</v>
      </c>
      <c r="Q86" s="8" t="s">
        <v>16</v>
      </c>
      <c r="R86"/>
    </row>
    <row r="87" spans="1:18" x14ac:dyDescent="0.25">
      <c r="A87" s="8">
        <v>30</v>
      </c>
      <c r="B87" s="10" t="s">
        <v>10</v>
      </c>
      <c r="C87" s="10">
        <v>5900</v>
      </c>
      <c r="D87" s="10">
        <v>6200</v>
      </c>
      <c r="E87" s="10">
        <v>6500</v>
      </c>
      <c r="F87" s="10">
        <v>7050</v>
      </c>
      <c r="G87" s="10">
        <v>7800</v>
      </c>
      <c r="H87" s="10" t="s">
        <v>10</v>
      </c>
      <c r="I87" s="3"/>
      <c r="J87" s="8">
        <v>30</v>
      </c>
      <c r="K87" s="21" t="e">
        <f t="shared" ref="K87:Q89" si="10">B87/B7-1</f>
        <v>#VALUE!</v>
      </c>
      <c r="L87" s="21">
        <f t="shared" si="10"/>
        <v>0.69413656463561679</v>
      </c>
      <c r="M87" s="21">
        <f t="shared" si="10"/>
        <v>0.76522506619593988</v>
      </c>
      <c r="N87" s="21">
        <f t="shared" si="10"/>
        <v>0.72780435938330656</v>
      </c>
      <c r="O87" s="21">
        <f t="shared" si="10"/>
        <v>0.78825081168831135</v>
      </c>
      <c r="P87" s="21">
        <f t="shared" si="10"/>
        <v>0.73202469245458968</v>
      </c>
      <c r="Q87" s="21" t="e">
        <f t="shared" si="10"/>
        <v>#VALUE!</v>
      </c>
      <c r="R87"/>
    </row>
    <row r="88" spans="1:18" x14ac:dyDescent="0.25">
      <c r="A88" s="8">
        <v>40</v>
      </c>
      <c r="B88" s="10" t="s">
        <v>10</v>
      </c>
      <c r="C88" s="10">
        <v>8650</v>
      </c>
      <c r="D88" s="10">
        <v>10150</v>
      </c>
      <c r="E88" s="10">
        <v>11300</v>
      </c>
      <c r="F88" s="10">
        <v>12800</v>
      </c>
      <c r="G88" s="10">
        <v>11300</v>
      </c>
      <c r="H88" s="10">
        <v>14600</v>
      </c>
      <c r="I88" s="3"/>
      <c r="J88" s="8">
        <v>40</v>
      </c>
      <c r="K88" s="21" t="e">
        <f t="shared" si="10"/>
        <v>#VALUE!</v>
      </c>
      <c r="L88" s="21">
        <f t="shared" si="10"/>
        <v>0.54370560730984741</v>
      </c>
      <c r="M88" s="21">
        <f t="shared" si="10"/>
        <v>0.55132359234578465</v>
      </c>
      <c r="N88" s="21">
        <f t="shared" si="10"/>
        <v>0.5268619608690952</v>
      </c>
      <c r="O88" s="21">
        <f t="shared" si="10"/>
        <v>0.55379404945435096</v>
      </c>
      <c r="P88" s="21">
        <f t="shared" si="10"/>
        <v>0.5268619608690952</v>
      </c>
      <c r="Q88" s="21">
        <f t="shared" si="10"/>
        <v>0.68435625288417157</v>
      </c>
      <c r="R88"/>
    </row>
    <row r="89" spans="1:18" x14ac:dyDescent="0.25">
      <c r="A89" s="8">
        <v>50</v>
      </c>
      <c r="B89" s="10" t="s">
        <v>10</v>
      </c>
      <c r="C89" s="10">
        <v>17700</v>
      </c>
      <c r="D89" s="10">
        <v>21300</v>
      </c>
      <c r="E89" s="10">
        <v>23950</v>
      </c>
      <c r="F89" s="10" t="s">
        <v>10</v>
      </c>
      <c r="G89" s="10">
        <v>18700</v>
      </c>
      <c r="H89" s="10">
        <v>23950</v>
      </c>
      <c r="I89" s="3"/>
      <c r="J89" s="8">
        <v>50</v>
      </c>
      <c r="K89" s="21" t="e">
        <f t="shared" si="10"/>
        <v>#VALUE!</v>
      </c>
      <c r="L89" s="21">
        <f t="shared" si="10"/>
        <v>0.57368304067570564</v>
      </c>
      <c r="M89" s="21">
        <f t="shared" si="10"/>
        <v>0.35885167464114809</v>
      </c>
      <c r="N89" s="21">
        <f t="shared" si="10"/>
        <v>5.6261935318840939E-2</v>
      </c>
      <c r="O89" s="21" t="e">
        <f t="shared" si="10"/>
        <v>#VALUE!</v>
      </c>
      <c r="P89" s="21">
        <f t="shared" si="10"/>
        <v>0.53999456472506546</v>
      </c>
      <c r="Q89" s="21">
        <f t="shared" si="10"/>
        <v>5.6261935318840939E-2</v>
      </c>
      <c r="R89"/>
    </row>
    <row r="90" spans="1:18" x14ac:dyDescent="0.25">
      <c r="I90" s="3"/>
      <c r="R90"/>
    </row>
    <row r="91" spans="1:18" x14ac:dyDescent="0.25">
      <c r="I91" s="3"/>
      <c r="R91"/>
    </row>
    <row r="92" spans="1:18" x14ac:dyDescent="0.25">
      <c r="A92" s="4" t="s">
        <v>3</v>
      </c>
      <c r="B92" s="32" t="s">
        <v>39</v>
      </c>
      <c r="C92" s="33"/>
      <c r="D92" s="33"/>
      <c r="E92" s="33"/>
      <c r="F92" s="33"/>
      <c r="G92" s="33"/>
      <c r="H92" s="34"/>
      <c r="I92" s="3"/>
      <c r="J92" s="4" t="s">
        <v>3</v>
      </c>
      <c r="K92" s="32" t="s">
        <v>39</v>
      </c>
      <c r="L92" s="33"/>
      <c r="M92" s="33"/>
      <c r="N92" s="33"/>
      <c r="O92" s="33"/>
      <c r="P92" s="33"/>
      <c r="Q92" s="34"/>
      <c r="R92"/>
    </row>
    <row r="93" spans="1:18" x14ac:dyDescent="0.25">
      <c r="A93" s="4" t="s">
        <v>5</v>
      </c>
      <c r="B93" s="32" t="s">
        <v>40</v>
      </c>
      <c r="C93" s="33"/>
      <c r="D93" s="33"/>
      <c r="E93" s="33"/>
      <c r="F93" s="33"/>
      <c r="G93" s="33"/>
      <c r="H93" s="34"/>
      <c r="I93" s="3" t="s">
        <v>17</v>
      </c>
      <c r="J93" s="4" t="s">
        <v>5</v>
      </c>
      <c r="K93" s="32" t="s">
        <v>40</v>
      </c>
      <c r="L93" s="33"/>
      <c r="M93" s="33"/>
      <c r="N93" s="33"/>
      <c r="O93" s="33"/>
      <c r="P93" s="33"/>
      <c r="Q93" s="34"/>
      <c r="R93"/>
    </row>
    <row r="94" spans="1:18" x14ac:dyDescent="0.25">
      <c r="A94" s="12"/>
      <c r="B94" s="35" t="s">
        <v>6</v>
      </c>
      <c r="C94" s="36"/>
      <c r="D94" s="36"/>
      <c r="E94" s="36"/>
      <c r="F94" s="36"/>
      <c r="G94" s="36"/>
      <c r="H94" s="37"/>
      <c r="I94" s="3"/>
      <c r="J94" s="12"/>
      <c r="K94" s="35" t="s">
        <v>6</v>
      </c>
      <c r="L94" s="36"/>
      <c r="M94" s="36"/>
      <c r="N94" s="36"/>
      <c r="O94" s="36"/>
      <c r="P94" s="36"/>
      <c r="Q94" s="37"/>
      <c r="R94"/>
    </row>
    <row r="95" spans="1:18" x14ac:dyDescent="0.25">
      <c r="A95" s="8" t="s">
        <v>7</v>
      </c>
      <c r="B95" s="8">
        <v>5</v>
      </c>
      <c r="C95" s="8">
        <v>10</v>
      </c>
      <c r="D95" s="8">
        <v>20</v>
      </c>
      <c r="E95" s="8">
        <v>25</v>
      </c>
      <c r="F95" s="8">
        <v>30</v>
      </c>
      <c r="G95" s="8" t="s">
        <v>8</v>
      </c>
      <c r="H95" s="4" t="s">
        <v>9</v>
      </c>
      <c r="I95" s="3"/>
      <c r="J95" s="8" t="s">
        <v>7</v>
      </c>
      <c r="K95" s="8">
        <v>5</v>
      </c>
      <c r="L95" s="8">
        <v>10</v>
      </c>
      <c r="M95" s="8">
        <v>20</v>
      </c>
      <c r="N95" s="8">
        <v>25</v>
      </c>
      <c r="O95" s="8">
        <v>30</v>
      </c>
      <c r="P95" s="8" t="s">
        <v>8</v>
      </c>
      <c r="Q95" s="4" t="s">
        <v>9</v>
      </c>
      <c r="R95"/>
    </row>
    <row r="96" spans="1:18" x14ac:dyDescent="0.25">
      <c r="A96" s="8">
        <v>30</v>
      </c>
      <c r="B96" s="10" t="s">
        <v>10</v>
      </c>
      <c r="C96" s="10">
        <v>3840</v>
      </c>
      <c r="D96" s="10">
        <v>4235</v>
      </c>
      <c r="E96" s="10">
        <v>4710</v>
      </c>
      <c r="F96" s="10">
        <v>5245</v>
      </c>
      <c r="G96" s="10">
        <v>5825</v>
      </c>
      <c r="H96" s="10" t="s">
        <v>10</v>
      </c>
      <c r="I96" s="3"/>
      <c r="J96" s="8">
        <v>30</v>
      </c>
      <c r="K96" s="21" t="e">
        <f t="shared" ref="K96:Q98" si="11">B96/B7-1</f>
        <v>#VALUE!</v>
      </c>
      <c r="L96" s="21">
        <f t="shared" si="11"/>
        <v>0.10262447596623203</v>
      </c>
      <c r="M96" s="21">
        <f t="shared" si="11"/>
        <v>0.20576260569996863</v>
      </c>
      <c r="N96" s="21">
        <f t="shared" si="11"/>
        <v>0.25199362041467288</v>
      </c>
      <c r="O96" s="21">
        <f t="shared" si="11"/>
        <v>0.33040787337662314</v>
      </c>
      <c r="P96" s="21">
        <f t="shared" si="11"/>
        <v>0.2934671581471775</v>
      </c>
      <c r="Q96" s="21" t="e">
        <f t="shared" si="11"/>
        <v>#VALUE!</v>
      </c>
      <c r="R96"/>
    </row>
    <row r="97" spans="1:18" x14ac:dyDescent="0.25">
      <c r="A97" s="8">
        <v>40</v>
      </c>
      <c r="B97" s="10" t="s">
        <v>10</v>
      </c>
      <c r="C97" s="10">
        <v>6330</v>
      </c>
      <c r="D97" s="10">
        <v>8110</v>
      </c>
      <c r="E97" s="10">
        <v>9160</v>
      </c>
      <c r="F97" s="10">
        <v>10270</v>
      </c>
      <c r="G97" s="10">
        <v>9160</v>
      </c>
      <c r="H97" s="10">
        <v>11595</v>
      </c>
      <c r="I97" s="3"/>
      <c r="J97" s="8">
        <v>40</v>
      </c>
      <c r="K97" s="21" t="e">
        <f t="shared" si="11"/>
        <v>#VALUE!</v>
      </c>
      <c r="L97" s="21">
        <f t="shared" si="11"/>
        <v>0.12967127101402709</v>
      </c>
      <c r="M97" s="21">
        <f t="shared" si="11"/>
        <v>0.23953047624870072</v>
      </c>
      <c r="N97" s="21">
        <f t="shared" si="11"/>
        <v>0.23770403199654089</v>
      </c>
      <c r="O97" s="21">
        <f t="shared" si="11"/>
        <v>0.24667694436688947</v>
      </c>
      <c r="P97" s="21">
        <f t="shared" si="11"/>
        <v>0.23770403199654089</v>
      </c>
      <c r="Q97" s="21">
        <f t="shared" si="11"/>
        <v>0.33767881864328575</v>
      </c>
      <c r="R97"/>
    </row>
    <row r="98" spans="1:18" x14ac:dyDescent="0.25">
      <c r="A98" s="8">
        <v>50</v>
      </c>
      <c r="B98" s="10" t="s">
        <v>10</v>
      </c>
      <c r="C98" s="10">
        <v>14350</v>
      </c>
      <c r="D98" s="10">
        <v>19500</v>
      </c>
      <c r="E98" s="10">
        <v>22500</v>
      </c>
      <c r="F98" s="10">
        <v>22540</v>
      </c>
      <c r="G98" s="10">
        <v>16250</v>
      </c>
      <c r="H98" s="10">
        <v>22500</v>
      </c>
      <c r="I98" s="3"/>
      <c r="J98" s="8">
        <v>50</v>
      </c>
      <c r="K98" s="21" t="e">
        <f t="shared" si="11"/>
        <v>#VALUE!</v>
      </c>
      <c r="L98" s="21">
        <f t="shared" si="11"/>
        <v>0.2758390753500779</v>
      </c>
      <c r="M98" s="21">
        <f t="shared" si="11"/>
        <v>0.24401913875598069</v>
      </c>
      <c r="N98" s="21">
        <f t="shared" si="11"/>
        <v>-7.6871171326128307E-3</v>
      </c>
      <c r="O98" s="21" t="e">
        <f t="shared" si="11"/>
        <v>#VALUE!</v>
      </c>
      <c r="P98" s="21">
        <f t="shared" si="11"/>
        <v>0.3382305709509259</v>
      </c>
      <c r="Q98" s="21">
        <f t="shared" si="11"/>
        <v>-7.6871171326128307E-3</v>
      </c>
      <c r="R98"/>
    </row>
    <row r="99" spans="1:18" x14ac:dyDescent="0.25">
      <c r="I99" s="3"/>
      <c r="R99"/>
    </row>
    <row r="100" spans="1:18" x14ac:dyDescent="0.25">
      <c r="I100" s="3"/>
      <c r="R100"/>
    </row>
    <row r="101" spans="1:18" x14ac:dyDescent="0.25">
      <c r="A101" s="4" t="s">
        <v>3</v>
      </c>
      <c r="B101" s="32" t="s">
        <v>41</v>
      </c>
      <c r="C101" s="33"/>
      <c r="D101" s="33"/>
      <c r="E101" s="33"/>
      <c r="F101" s="33"/>
      <c r="G101" s="33"/>
      <c r="H101" s="34"/>
      <c r="I101" s="3"/>
      <c r="J101" s="4" t="s">
        <v>3</v>
      </c>
      <c r="K101" s="32" t="s">
        <v>41</v>
      </c>
      <c r="L101" s="33"/>
      <c r="M101" s="33"/>
      <c r="N101" s="33"/>
      <c r="O101" s="33"/>
      <c r="P101" s="33"/>
      <c r="Q101" s="34"/>
      <c r="R101"/>
    </row>
    <row r="102" spans="1:18" x14ac:dyDescent="0.25">
      <c r="A102" s="4" t="s">
        <v>5</v>
      </c>
      <c r="B102" s="32" t="s">
        <v>42</v>
      </c>
      <c r="C102" s="33"/>
      <c r="D102" s="33"/>
      <c r="E102" s="33"/>
      <c r="F102" s="33"/>
      <c r="G102" s="33"/>
      <c r="H102" s="34"/>
      <c r="I102" s="3" t="s">
        <v>17</v>
      </c>
      <c r="J102" s="4" t="s">
        <v>5</v>
      </c>
      <c r="K102" s="32" t="s">
        <v>42</v>
      </c>
      <c r="L102" s="33"/>
      <c r="M102" s="33"/>
      <c r="N102" s="33"/>
      <c r="O102" s="33"/>
      <c r="P102" s="33"/>
      <c r="Q102" s="34"/>
      <c r="R102"/>
    </row>
    <row r="103" spans="1:18" x14ac:dyDescent="0.25">
      <c r="A103" s="12"/>
      <c r="B103" s="35" t="s">
        <v>6</v>
      </c>
      <c r="C103" s="36"/>
      <c r="D103" s="36"/>
      <c r="E103" s="36"/>
      <c r="F103" s="36"/>
      <c r="G103" s="36"/>
      <c r="H103" s="37"/>
      <c r="I103" s="3"/>
      <c r="J103" s="12"/>
      <c r="K103" s="35" t="s">
        <v>6</v>
      </c>
      <c r="L103" s="36"/>
      <c r="M103" s="36"/>
      <c r="N103" s="36"/>
      <c r="O103" s="36"/>
      <c r="P103" s="36"/>
      <c r="Q103" s="37"/>
      <c r="R103"/>
    </row>
    <row r="104" spans="1:18" x14ac:dyDescent="0.25">
      <c r="A104" s="8" t="s">
        <v>7</v>
      </c>
      <c r="B104" s="8">
        <v>5</v>
      </c>
      <c r="C104" s="8">
        <v>10</v>
      </c>
      <c r="D104" s="8">
        <v>20</v>
      </c>
      <c r="E104" s="8">
        <v>25</v>
      </c>
      <c r="F104" s="8">
        <v>30</v>
      </c>
      <c r="G104" s="8" t="s">
        <v>8</v>
      </c>
      <c r="H104" s="4" t="s">
        <v>9</v>
      </c>
      <c r="I104" s="3"/>
      <c r="J104" s="8" t="s">
        <v>7</v>
      </c>
      <c r="K104" s="8">
        <v>5</v>
      </c>
      <c r="L104" s="8">
        <v>10</v>
      </c>
      <c r="M104" s="8">
        <v>20</v>
      </c>
      <c r="N104" s="8">
        <v>25</v>
      </c>
      <c r="O104" s="8">
        <v>30</v>
      </c>
      <c r="P104" s="8" t="s">
        <v>8</v>
      </c>
      <c r="Q104" s="4" t="s">
        <v>9</v>
      </c>
      <c r="R104"/>
    </row>
    <row r="105" spans="1:18" x14ac:dyDescent="0.25">
      <c r="A105" s="8">
        <v>30</v>
      </c>
      <c r="B105" s="10" t="s">
        <v>10</v>
      </c>
      <c r="C105" s="10">
        <v>4781</v>
      </c>
      <c r="D105" s="10">
        <v>4887</v>
      </c>
      <c r="E105" s="10">
        <v>5399</v>
      </c>
      <c r="F105" s="10">
        <v>6230</v>
      </c>
      <c r="G105" s="10" t="s">
        <v>10</v>
      </c>
      <c r="H105" s="10" t="s">
        <v>10</v>
      </c>
      <c r="I105" s="3"/>
      <c r="J105" s="8">
        <v>30</v>
      </c>
      <c r="K105" s="21" t="e">
        <f t="shared" ref="K105:Q107" si="12">B105/B7-1</f>
        <v>#VALUE!</v>
      </c>
      <c r="L105" s="21">
        <f t="shared" si="12"/>
        <v>0.372824900936082</v>
      </c>
      <c r="M105" s="21">
        <f t="shared" si="12"/>
        <v>0.39139595137089644</v>
      </c>
      <c r="N105" s="21">
        <f t="shared" si="12"/>
        <v>0.43514088250930349</v>
      </c>
      <c r="O105" s="21">
        <f t="shared" si="12"/>
        <v>0.58025568181818166</v>
      </c>
      <c r="P105" s="21" t="e">
        <f t="shared" si="12"/>
        <v>#VALUE!</v>
      </c>
      <c r="Q105" s="21" t="e">
        <f t="shared" si="12"/>
        <v>#VALUE!</v>
      </c>
      <c r="R105"/>
    </row>
    <row r="106" spans="1:18" x14ac:dyDescent="0.25">
      <c r="A106" s="8">
        <v>40</v>
      </c>
      <c r="B106" s="10">
        <v>6712</v>
      </c>
      <c r="C106" s="10">
        <v>6748</v>
      </c>
      <c r="D106" s="10">
        <v>8555</v>
      </c>
      <c r="E106" s="3">
        <v>10077</v>
      </c>
      <c r="F106" s="10">
        <v>12020</v>
      </c>
      <c r="G106" s="3">
        <v>10077</v>
      </c>
      <c r="H106" s="10" t="s">
        <v>10</v>
      </c>
      <c r="I106" s="3"/>
      <c r="J106" s="8">
        <v>40</v>
      </c>
      <c r="K106" s="21" t="e">
        <f t="shared" si="12"/>
        <v>#VALUE!</v>
      </c>
      <c r="L106" s="21">
        <f t="shared" si="12"/>
        <v>0.2042688367776706</v>
      </c>
      <c r="M106" s="21">
        <f t="shared" si="12"/>
        <v>0.30754417069144702</v>
      </c>
      <c r="N106" s="21">
        <f t="shared" si="12"/>
        <v>0.36160955572370557</v>
      </c>
      <c r="O106" s="21">
        <f t="shared" si="12"/>
        <v>0.45910972456572652</v>
      </c>
      <c r="P106" s="21">
        <f t="shared" si="12"/>
        <v>0.36160955572370557</v>
      </c>
      <c r="Q106" s="21" t="e">
        <f t="shared" si="12"/>
        <v>#VALUE!</v>
      </c>
      <c r="R106"/>
    </row>
    <row r="107" spans="1:18" x14ac:dyDescent="0.25">
      <c r="A107" s="8">
        <v>50</v>
      </c>
      <c r="B107" s="10">
        <v>12510</v>
      </c>
      <c r="C107" s="10">
        <v>13461</v>
      </c>
      <c r="D107" s="10">
        <v>17760</v>
      </c>
      <c r="E107" s="10">
        <v>21227</v>
      </c>
      <c r="F107" s="10" t="s">
        <v>10</v>
      </c>
      <c r="G107" s="10">
        <v>15167</v>
      </c>
      <c r="H107" s="10">
        <v>21227</v>
      </c>
      <c r="I107" s="3"/>
      <c r="J107" s="8">
        <v>50</v>
      </c>
      <c r="K107" s="21" t="e">
        <f t="shared" si="12"/>
        <v>#VALUE!</v>
      </c>
      <c r="L107" s="21">
        <f t="shared" si="12"/>
        <v>0.19679928873082897</v>
      </c>
      <c r="M107" s="21">
        <f t="shared" si="12"/>
        <v>0.13301435406698547</v>
      </c>
      <c r="N107" s="21">
        <f t="shared" si="12"/>
        <v>-6.3829974905509901E-2</v>
      </c>
      <c r="O107" s="21" t="e">
        <f t="shared" si="12"/>
        <v>#VALUE!</v>
      </c>
      <c r="P107" s="21">
        <f t="shared" si="12"/>
        <v>0.24904265043770413</v>
      </c>
      <c r="Q107" s="21">
        <f t="shared" si="12"/>
        <v>-6.3829974905509901E-2</v>
      </c>
      <c r="R107"/>
    </row>
  </sheetData>
  <mergeCells count="71">
    <mergeCell ref="A1:H1"/>
    <mergeCell ref="J1:Q1"/>
    <mergeCell ref="B3:H3"/>
    <mergeCell ref="B4:H4"/>
    <mergeCell ref="B5:H5"/>
    <mergeCell ref="B12:H12"/>
    <mergeCell ref="K12:Q12"/>
    <mergeCell ref="B13:H13"/>
    <mergeCell ref="K13:Q13"/>
    <mergeCell ref="B14:H14"/>
    <mergeCell ref="K14:Q14"/>
    <mergeCell ref="B20:H20"/>
    <mergeCell ref="K20:Q20"/>
    <mergeCell ref="B21:H21"/>
    <mergeCell ref="K21:Q21"/>
    <mergeCell ref="B22:H22"/>
    <mergeCell ref="K22:Q22"/>
    <mergeCell ref="B29:H29"/>
    <mergeCell ref="K29:Q29"/>
    <mergeCell ref="B30:H30"/>
    <mergeCell ref="K30:Q30"/>
    <mergeCell ref="B31:H31"/>
    <mergeCell ref="K31:Q31"/>
    <mergeCell ref="B39:H39"/>
    <mergeCell ref="K39:Q39"/>
    <mergeCell ref="B40:H40"/>
    <mergeCell ref="K40:Q40"/>
    <mergeCell ref="B41:H41"/>
    <mergeCell ref="K41:Q41"/>
    <mergeCell ref="B48:H48"/>
    <mergeCell ref="K48:Q48"/>
    <mergeCell ref="B49:H49"/>
    <mergeCell ref="K49:Q49"/>
    <mergeCell ref="B50:H50"/>
    <mergeCell ref="K50:Q50"/>
    <mergeCell ref="B57:H57"/>
    <mergeCell ref="K57:Q57"/>
    <mergeCell ref="B58:H58"/>
    <mergeCell ref="K58:Q58"/>
    <mergeCell ref="B59:H59"/>
    <mergeCell ref="K59:Q59"/>
    <mergeCell ref="B65:H65"/>
    <mergeCell ref="K65:Q65"/>
    <mergeCell ref="B66:H66"/>
    <mergeCell ref="K66:Q66"/>
    <mergeCell ref="B67:H67"/>
    <mergeCell ref="K67:Q67"/>
    <mergeCell ref="B74:H74"/>
    <mergeCell ref="K74:Q74"/>
    <mergeCell ref="B75:H75"/>
    <mergeCell ref="K75:Q75"/>
    <mergeCell ref="B76:H76"/>
    <mergeCell ref="K76:Q76"/>
    <mergeCell ref="B83:H83"/>
    <mergeCell ref="K83:Q83"/>
    <mergeCell ref="B84:H84"/>
    <mergeCell ref="K84:Q84"/>
    <mergeCell ref="B85:H85"/>
    <mergeCell ref="K85:Q85"/>
    <mergeCell ref="B92:H92"/>
    <mergeCell ref="K92:Q92"/>
    <mergeCell ref="B93:H93"/>
    <mergeCell ref="K93:Q93"/>
    <mergeCell ref="B94:H94"/>
    <mergeCell ref="K94:Q94"/>
    <mergeCell ref="B101:H101"/>
    <mergeCell ref="K101:Q101"/>
    <mergeCell ref="B102:H102"/>
    <mergeCell ref="K102:Q102"/>
    <mergeCell ref="B103:H103"/>
    <mergeCell ref="K103:Q10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5" x14ac:dyDescent="0.25"/>
  <cols>
    <col min="1" max="1" width="15.140625" bestFit="1" customWidth="1"/>
    <col min="10" max="10" width="15.140625" bestFit="1" customWidth="1"/>
  </cols>
  <sheetData>
    <row r="1" spans="1:17" x14ac:dyDescent="0.25">
      <c r="A1" s="41" t="s">
        <v>0</v>
      </c>
      <c r="B1" s="42"/>
      <c r="C1" s="42"/>
      <c r="D1" s="42"/>
      <c r="E1" s="42"/>
      <c r="F1" s="42"/>
      <c r="G1" s="42"/>
      <c r="H1" s="43"/>
    </row>
    <row r="2" spans="1:17" x14ac:dyDescent="0.25">
      <c r="A2" s="4" t="s">
        <v>3</v>
      </c>
      <c r="B2" s="32" t="s">
        <v>4</v>
      </c>
      <c r="C2" s="33"/>
      <c r="D2" s="33"/>
      <c r="E2" s="33"/>
      <c r="F2" s="33"/>
      <c r="G2" s="33"/>
      <c r="H2" s="34"/>
      <c r="J2" s="4" t="s">
        <v>3</v>
      </c>
      <c r="K2" s="46" t="s">
        <v>23</v>
      </c>
      <c r="L2" s="46"/>
      <c r="M2" s="46"/>
      <c r="N2" s="46"/>
      <c r="O2" s="46"/>
      <c r="P2" s="46"/>
      <c r="Q2" s="46"/>
    </row>
    <row r="3" spans="1:17" x14ac:dyDescent="0.25">
      <c r="A3" s="4" t="s">
        <v>5</v>
      </c>
      <c r="B3" s="32" t="s">
        <v>11</v>
      </c>
      <c r="C3" s="33"/>
      <c r="D3" s="33"/>
      <c r="E3" s="33"/>
      <c r="F3" s="33"/>
      <c r="G3" s="33"/>
      <c r="H3" s="34"/>
      <c r="J3" s="4" t="s">
        <v>5</v>
      </c>
      <c r="K3" s="47" t="s">
        <v>25</v>
      </c>
      <c r="L3" s="48"/>
      <c r="M3" s="48"/>
      <c r="N3" s="48"/>
      <c r="O3" s="48"/>
      <c r="P3" s="48"/>
      <c r="Q3" s="48"/>
    </row>
    <row r="4" spans="1:17" x14ac:dyDescent="0.25">
      <c r="A4" s="12"/>
      <c r="B4" s="35" t="s">
        <v>6</v>
      </c>
      <c r="C4" s="36"/>
      <c r="D4" s="36"/>
      <c r="E4" s="36"/>
      <c r="F4" s="36"/>
      <c r="G4" s="36"/>
      <c r="H4" s="37"/>
      <c r="J4" s="12"/>
      <c r="K4" s="47" t="s">
        <v>6</v>
      </c>
      <c r="L4" s="47"/>
      <c r="M4" s="47"/>
      <c r="N4" s="47"/>
      <c r="O4" s="47"/>
      <c r="P4" s="47"/>
      <c r="Q4" s="47"/>
    </row>
    <row r="5" spans="1:17" x14ac:dyDescent="0.25">
      <c r="A5" s="15" t="s">
        <v>7</v>
      </c>
      <c r="B5" s="15">
        <v>5</v>
      </c>
      <c r="C5" s="15">
        <v>10</v>
      </c>
      <c r="D5" s="15">
        <v>20</v>
      </c>
      <c r="E5" s="15">
        <v>25</v>
      </c>
      <c r="F5" s="15">
        <v>30</v>
      </c>
      <c r="G5" s="15" t="s">
        <v>8</v>
      </c>
      <c r="H5" s="4" t="s">
        <v>9</v>
      </c>
      <c r="J5" s="15" t="s">
        <v>7</v>
      </c>
      <c r="K5" s="26">
        <v>5</v>
      </c>
      <c r="L5" s="26">
        <v>10</v>
      </c>
      <c r="M5" s="26">
        <v>20</v>
      </c>
      <c r="N5" s="26">
        <v>25</v>
      </c>
      <c r="O5" s="26">
        <v>30</v>
      </c>
      <c r="P5" s="26" t="s">
        <v>26</v>
      </c>
      <c r="Q5" s="26" t="s">
        <v>16</v>
      </c>
    </row>
    <row r="6" spans="1:17" x14ac:dyDescent="0.25">
      <c r="A6" s="15">
        <v>30</v>
      </c>
      <c r="B6" s="20" t="s">
        <v>10</v>
      </c>
      <c r="C6" s="13">
        <v>3482.6000000000004</v>
      </c>
      <c r="D6" s="13">
        <v>3512.3</v>
      </c>
      <c r="E6" s="13">
        <v>3762.0000000000005</v>
      </c>
      <c r="F6" s="13">
        <v>3942.4000000000005</v>
      </c>
      <c r="G6" s="13">
        <v>4503.4000000000005</v>
      </c>
      <c r="H6" s="13">
        <v>5315.2000000000007</v>
      </c>
      <c r="J6" s="15">
        <v>30</v>
      </c>
      <c r="K6" s="27">
        <f>7100/(1.18)</f>
        <v>6016.9491525423728</v>
      </c>
      <c r="L6" s="27">
        <f>7100/(1.18)</f>
        <v>6016.9491525423728</v>
      </c>
      <c r="M6" s="27">
        <f>7950/(1.18)</f>
        <v>6737.2881355932204</v>
      </c>
      <c r="N6" s="27">
        <f>9200/(1.18)</f>
        <v>7796.610169491526</v>
      </c>
      <c r="O6" s="27" t="s">
        <v>10</v>
      </c>
      <c r="P6" s="27" t="s">
        <v>10</v>
      </c>
      <c r="Q6" s="27">
        <f>17850/(1.18)</f>
        <v>15127.118644067798</v>
      </c>
    </row>
    <row r="7" spans="1:17" x14ac:dyDescent="0.25">
      <c r="A7" s="15">
        <v>40</v>
      </c>
      <c r="B7" s="20" t="s">
        <v>10</v>
      </c>
      <c r="C7" s="13">
        <v>5603.4000000000005</v>
      </c>
      <c r="D7" s="13">
        <v>6542.8</v>
      </c>
      <c r="E7" s="13">
        <v>7400.8</v>
      </c>
      <c r="F7" s="13">
        <v>8237.9000000000015</v>
      </c>
      <c r="G7" s="13">
        <v>7400.8</v>
      </c>
      <c r="H7" s="13">
        <v>8668</v>
      </c>
      <c r="J7" s="15">
        <v>40</v>
      </c>
      <c r="K7" s="27">
        <f>10400/(1.18)</f>
        <v>8813.5593220338997</v>
      </c>
      <c r="L7" s="27">
        <f>11800/(1.18)</f>
        <v>10000</v>
      </c>
      <c r="M7" s="27">
        <f>16350/(1.18)</f>
        <v>13855.932203389832</v>
      </c>
      <c r="N7" s="27">
        <f>19550/(1.18)</f>
        <v>16567.796610169491</v>
      </c>
      <c r="O7" s="27" t="s">
        <v>10</v>
      </c>
      <c r="P7" s="27">
        <f>19550/(1.18)</f>
        <v>16567.796610169491</v>
      </c>
      <c r="Q7" s="27">
        <f>28200/(1.18)</f>
        <v>23898.305084745763</v>
      </c>
    </row>
    <row r="8" spans="1:17" x14ac:dyDescent="0.25">
      <c r="A8" s="15">
        <v>50</v>
      </c>
      <c r="B8" s="20" t="s">
        <v>10</v>
      </c>
      <c r="C8" s="13">
        <v>11247.5</v>
      </c>
      <c r="D8" s="13">
        <v>15675.000000000002</v>
      </c>
      <c r="E8" s="13">
        <v>22674.300000000003</v>
      </c>
      <c r="F8" s="13" t="s">
        <v>10</v>
      </c>
      <c r="G8" s="13">
        <v>12142.900000000001</v>
      </c>
      <c r="H8" s="13">
        <v>22674.300000000003</v>
      </c>
      <c r="J8" s="15">
        <v>50</v>
      </c>
      <c r="K8" s="27">
        <f>21100/(1.18)</f>
        <v>17881.355932203391</v>
      </c>
      <c r="L8" s="27">
        <f>26050/(1.18)</f>
        <v>22076.271186440677</v>
      </c>
      <c r="M8" s="27">
        <f>38150/(1.18)</f>
        <v>32330.508474576272</v>
      </c>
      <c r="N8" s="27">
        <f>46550/(1.18)</f>
        <v>39449.152542372882</v>
      </c>
      <c r="O8" s="27" t="s">
        <v>10</v>
      </c>
      <c r="P8" s="27">
        <f>31550/(1.18)</f>
        <v>26737.288135593222</v>
      </c>
      <c r="Q8" s="27">
        <f>46550/(1.18)</f>
        <v>39449.152542372882</v>
      </c>
    </row>
    <row r="9" spans="1:17" x14ac:dyDescent="0.25">
      <c r="K9" s="28"/>
      <c r="L9" s="28"/>
      <c r="M9" s="28"/>
      <c r="N9" s="28"/>
      <c r="O9" s="28"/>
      <c r="P9" s="28"/>
      <c r="Q9" s="28"/>
    </row>
    <row r="10" spans="1:17" x14ac:dyDescent="0.25">
      <c r="A10" s="4" t="s">
        <v>3</v>
      </c>
      <c r="B10" s="32" t="s">
        <v>43</v>
      </c>
      <c r="C10" s="33"/>
      <c r="D10" s="33"/>
      <c r="E10" s="33"/>
      <c r="F10" s="33"/>
      <c r="G10" s="33"/>
      <c r="H10" s="34"/>
      <c r="J10" s="4" t="s">
        <v>3</v>
      </c>
      <c r="K10" s="49" t="s">
        <v>45</v>
      </c>
      <c r="L10" s="50"/>
      <c r="M10" s="50"/>
      <c r="N10" s="50"/>
      <c r="O10" s="50"/>
      <c r="P10" s="50"/>
      <c r="Q10" s="51"/>
    </row>
    <row r="11" spans="1:17" x14ac:dyDescent="0.25">
      <c r="A11" s="4" t="s">
        <v>5</v>
      </c>
      <c r="B11" s="39" t="s">
        <v>14</v>
      </c>
      <c r="C11" s="39"/>
      <c r="D11" s="39"/>
      <c r="E11" s="39"/>
      <c r="F11" s="39"/>
      <c r="G11" s="39"/>
      <c r="H11" s="39"/>
      <c r="J11" s="4" t="s">
        <v>5</v>
      </c>
      <c r="K11" s="49" t="s">
        <v>28</v>
      </c>
      <c r="L11" s="50"/>
      <c r="M11" s="50"/>
      <c r="N11" s="50"/>
      <c r="O11" s="50"/>
      <c r="P11" s="50"/>
      <c r="Q11" s="51"/>
    </row>
    <row r="12" spans="1:17" x14ac:dyDescent="0.25">
      <c r="A12" s="12"/>
      <c r="B12" s="39" t="s">
        <v>6</v>
      </c>
      <c r="C12" s="39"/>
      <c r="D12" s="39"/>
      <c r="E12" s="39"/>
      <c r="F12" s="39"/>
      <c r="G12" s="39"/>
      <c r="H12" s="39"/>
      <c r="J12" s="35" t="s">
        <v>6</v>
      </c>
      <c r="K12" s="36"/>
      <c r="L12" s="36"/>
      <c r="M12" s="36"/>
      <c r="N12" s="36"/>
      <c r="O12" s="36"/>
      <c r="P12" s="36"/>
      <c r="Q12" s="37"/>
    </row>
    <row r="13" spans="1:17" x14ac:dyDescent="0.25">
      <c r="A13" s="15" t="s">
        <v>7</v>
      </c>
      <c r="B13" s="15">
        <v>5</v>
      </c>
      <c r="C13" s="15">
        <v>10</v>
      </c>
      <c r="D13" s="15">
        <v>20</v>
      </c>
      <c r="E13" s="15">
        <v>25</v>
      </c>
      <c r="F13" s="15">
        <v>30</v>
      </c>
      <c r="G13" s="15" t="s">
        <v>8</v>
      </c>
      <c r="H13" s="4" t="s">
        <v>16</v>
      </c>
      <c r="J13" s="15" t="s">
        <v>7</v>
      </c>
      <c r="K13" s="26">
        <v>5</v>
      </c>
      <c r="L13" s="26">
        <v>10</v>
      </c>
      <c r="M13" s="26">
        <v>20</v>
      </c>
      <c r="N13" s="26">
        <v>25</v>
      </c>
      <c r="O13" s="26">
        <v>30</v>
      </c>
      <c r="P13" s="26" t="s">
        <v>8</v>
      </c>
      <c r="Q13" s="26" t="s">
        <v>9</v>
      </c>
    </row>
    <row r="14" spans="1:17" x14ac:dyDescent="0.25">
      <c r="A14" s="15">
        <v>30</v>
      </c>
      <c r="B14" s="9">
        <f>6777/(1.18)</f>
        <v>5743.2203389830511</v>
      </c>
      <c r="C14" s="9">
        <f>6893/(1.18)</f>
        <v>5841.5254237288136</v>
      </c>
      <c r="D14" s="9">
        <f>7945/(1.18)</f>
        <v>6733.0508474576272</v>
      </c>
      <c r="E14" s="9">
        <f>8879/(1.18)</f>
        <v>7524.5762711864409</v>
      </c>
      <c r="F14" s="9">
        <f>10048/(1.18)</f>
        <v>8515.2542372881362</v>
      </c>
      <c r="G14" s="9" t="s">
        <v>10</v>
      </c>
      <c r="H14" s="20" t="s">
        <v>10</v>
      </c>
      <c r="J14" s="15">
        <v>30</v>
      </c>
      <c r="K14" s="29" t="s">
        <v>10</v>
      </c>
      <c r="L14" s="29">
        <f>4626/(1.18)</f>
        <v>3920.3389830508477</v>
      </c>
      <c r="M14" s="29">
        <f>4840/(1.18)</f>
        <v>4101.6949152542375</v>
      </c>
      <c r="N14" s="29">
        <f>5186/(1.18)</f>
        <v>4394.9152542372885</v>
      </c>
      <c r="O14" s="29">
        <f>5751/(1.18)</f>
        <v>4873.7288135593226</v>
      </c>
      <c r="P14" s="29">
        <f>6256/(1.18)</f>
        <v>5301.6949152542375</v>
      </c>
      <c r="Q14" s="29">
        <f>7514/(1.18)</f>
        <v>6367.7966101694919</v>
      </c>
    </row>
    <row r="15" spans="1:17" x14ac:dyDescent="0.25">
      <c r="A15" s="15">
        <v>40</v>
      </c>
      <c r="B15" s="9">
        <f>11216/(1.18)</f>
        <v>9505.0847457627115</v>
      </c>
      <c r="C15" s="9">
        <f>12560/(1.18)</f>
        <v>10644.06779661017</v>
      </c>
      <c r="D15" s="9">
        <f>16181/(1.18)</f>
        <v>13712.71186440678</v>
      </c>
      <c r="E15" s="9">
        <f>18518/(1.18)</f>
        <v>15693.220338983052</v>
      </c>
      <c r="F15" s="9" t="s">
        <v>10</v>
      </c>
      <c r="G15" s="9">
        <f>18518/(1.18)</f>
        <v>15693.220338983052</v>
      </c>
      <c r="H15" s="20" t="s">
        <v>10</v>
      </c>
      <c r="J15" s="15">
        <v>40</v>
      </c>
      <c r="K15" s="29" t="s">
        <v>10</v>
      </c>
      <c r="L15" s="29">
        <f>6831/(1.18)</f>
        <v>5788.9830508474579</v>
      </c>
      <c r="M15" s="29">
        <f>8330/(1.18)</f>
        <v>7059.3220338983056</v>
      </c>
      <c r="N15" s="29">
        <f>9216/(1.18)</f>
        <v>7810.1694915254238</v>
      </c>
      <c r="O15" s="29">
        <f>10434/(1.18)</f>
        <v>8842.3728813559319</v>
      </c>
      <c r="P15" s="29">
        <f>9216/(1.18)</f>
        <v>7810.1694915254238</v>
      </c>
      <c r="Q15" s="29">
        <f>11591/(1.18)</f>
        <v>9822.8813559322043</v>
      </c>
    </row>
    <row r="16" spans="1:17" x14ac:dyDescent="0.25">
      <c r="A16" s="15">
        <v>50</v>
      </c>
      <c r="B16" s="9">
        <f>26052/(1.18)</f>
        <v>22077.966101694918</v>
      </c>
      <c r="C16" s="9">
        <f>29790/(1.18)</f>
        <v>25245.762711864409</v>
      </c>
      <c r="D16" s="9" t="s">
        <v>10</v>
      </c>
      <c r="E16" s="9" t="s">
        <v>10</v>
      </c>
      <c r="F16" s="9" t="s">
        <v>10</v>
      </c>
      <c r="G16" s="9">
        <f>33528/(1.18)</f>
        <v>28413.5593220339</v>
      </c>
      <c r="H16" s="20" t="s">
        <v>10</v>
      </c>
      <c r="J16" s="15">
        <v>50</v>
      </c>
      <c r="K16" s="29" t="s">
        <v>10</v>
      </c>
      <c r="L16" s="29">
        <f>13863/(1.18)</f>
        <v>11748.305084745763</v>
      </c>
      <c r="M16" s="29">
        <f>17047/(1.18)</f>
        <v>14446.610169491527</v>
      </c>
      <c r="N16" s="29">
        <f>19049/(1.18)</f>
        <v>16143.220338983052</v>
      </c>
      <c r="O16" s="29" t="s">
        <v>10</v>
      </c>
      <c r="P16" s="29">
        <f>15280/(1.18)</f>
        <v>12949.152542372882</v>
      </c>
      <c r="Q16" s="29">
        <f>19049/(1.18)</f>
        <v>16143.220338983052</v>
      </c>
    </row>
    <row r="17" spans="1:17" x14ac:dyDescent="0.25">
      <c r="K17" s="28"/>
      <c r="L17" s="28"/>
      <c r="M17" s="28"/>
      <c r="N17" s="28"/>
      <c r="O17" s="28"/>
      <c r="P17" s="28"/>
      <c r="Q17" s="28"/>
    </row>
    <row r="18" spans="1:17" x14ac:dyDescent="0.25">
      <c r="A18" s="4" t="s">
        <v>3</v>
      </c>
      <c r="B18" s="32" t="s">
        <v>12</v>
      </c>
      <c r="C18" s="33"/>
      <c r="D18" s="33"/>
      <c r="E18" s="33"/>
      <c r="F18" s="33"/>
      <c r="G18" s="33"/>
      <c r="H18" s="34"/>
      <c r="J18" s="4" t="s">
        <v>3</v>
      </c>
      <c r="K18" s="49" t="s">
        <v>27</v>
      </c>
      <c r="L18" s="50"/>
      <c r="M18" s="50"/>
      <c r="N18" s="50"/>
      <c r="O18" s="50"/>
      <c r="P18" s="50"/>
      <c r="Q18" s="50"/>
    </row>
    <row r="19" spans="1:17" x14ac:dyDescent="0.25">
      <c r="A19" s="4" t="s">
        <v>5</v>
      </c>
      <c r="B19" s="39" t="s">
        <v>18</v>
      </c>
      <c r="C19" s="39"/>
      <c r="D19" s="39"/>
      <c r="E19" s="39"/>
      <c r="F19" s="39"/>
      <c r="G19" s="39"/>
      <c r="H19" s="39"/>
      <c r="J19" s="4" t="s">
        <v>5</v>
      </c>
      <c r="K19" s="49" t="s">
        <v>29</v>
      </c>
      <c r="L19" s="50"/>
      <c r="M19" s="50"/>
      <c r="N19" s="50"/>
      <c r="O19" s="50"/>
      <c r="P19" s="50"/>
      <c r="Q19" s="51"/>
    </row>
    <row r="20" spans="1:17" x14ac:dyDescent="0.25">
      <c r="A20" s="35" t="s">
        <v>6</v>
      </c>
      <c r="B20" s="36"/>
      <c r="C20" s="36"/>
      <c r="D20" s="36"/>
      <c r="E20" s="36"/>
      <c r="F20" s="36"/>
      <c r="G20" s="36"/>
      <c r="H20" s="37"/>
      <c r="J20" s="35" t="s">
        <v>6</v>
      </c>
      <c r="K20" s="36"/>
      <c r="L20" s="36"/>
      <c r="M20" s="36"/>
      <c r="N20" s="36"/>
      <c r="O20" s="36"/>
      <c r="P20" s="36"/>
      <c r="Q20" s="37"/>
    </row>
    <row r="21" spans="1:17" x14ac:dyDescent="0.25">
      <c r="A21" s="15" t="s">
        <v>7</v>
      </c>
      <c r="B21" s="15">
        <v>5</v>
      </c>
      <c r="C21" s="15">
        <v>10</v>
      </c>
      <c r="D21" s="15">
        <v>20</v>
      </c>
      <c r="E21" s="15">
        <v>25</v>
      </c>
      <c r="F21" s="15">
        <v>30</v>
      </c>
      <c r="G21" s="15" t="s">
        <v>8</v>
      </c>
      <c r="H21" s="4" t="s">
        <v>16</v>
      </c>
      <c r="J21" s="15" t="s">
        <v>30</v>
      </c>
      <c r="K21" s="26">
        <v>5</v>
      </c>
      <c r="L21" s="26">
        <v>10</v>
      </c>
      <c r="M21" s="26">
        <v>20</v>
      </c>
      <c r="N21" s="26">
        <v>25</v>
      </c>
      <c r="O21" s="26">
        <v>30</v>
      </c>
      <c r="P21" s="26" t="s">
        <v>31</v>
      </c>
      <c r="Q21" s="26" t="s">
        <v>16</v>
      </c>
    </row>
    <row r="22" spans="1:17" x14ac:dyDescent="0.25">
      <c r="A22" s="15">
        <v>30</v>
      </c>
      <c r="B22" s="16">
        <f>6001/(1.18)</f>
        <v>5085.593220338983</v>
      </c>
      <c r="C22" s="16">
        <f>4551/(1.18)</f>
        <v>3856.7796610169494</v>
      </c>
      <c r="D22" s="16">
        <f>5299/(1.18)</f>
        <v>4490.6779661016953</v>
      </c>
      <c r="E22" s="16">
        <f>5847/(1.18)</f>
        <v>4955.0847457627124</v>
      </c>
      <c r="F22" s="16">
        <f>6229/(1.18)</f>
        <v>5278.8135593220341</v>
      </c>
      <c r="G22" s="16">
        <f>7448/(1.18)</f>
        <v>6311.8644067796613</v>
      </c>
      <c r="H22" s="16" t="s">
        <v>10</v>
      </c>
      <c r="J22" s="15">
        <v>30</v>
      </c>
      <c r="K22" s="29" t="s">
        <v>10</v>
      </c>
      <c r="L22" s="29">
        <f>7906/(1.18)</f>
        <v>6700</v>
      </c>
      <c r="M22" s="29">
        <f>10207/(1.18)</f>
        <v>8650</v>
      </c>
      <c r="N22" s="29">
        <f>12154/(1.18)</f>
        <v>10300</v>
      </c>
      <c r="O22" s="29">
        <f>14691/(1.18)</f>
        <v>12450</v>
      </c>
      <c r="P22" s="29">
        <f>14691/(1.18)</f>
        <v>12450</v>
      </c>
      <c r="Q22" s="29" t="s">
        <v>10</v>
      </c>
    </row>
    <row r="23" spans="1:17" x14ac:dyDescent="0.25">
      <c r="A23" s="15">
        <v>40</v>
      </c>
      <c r="B23" s="16">
        <f>8480/(1.18)</f>
        <v>7186.4406779661022</v>
      </c>
      <c r="C23" s="16">
        <f>7784/(1.18)</f>
        <v>6596.610169491526</v>
      </c>
      <c r="D23" s="16">
        <f>9557/(1.18)</f>
        <v>8099.1525423728817</v>
      </c>
      <c r="E23" s="16">
        <f>11264/(1.18)</f>
        <v>9545.7627118644068</v>
      </c>
      <c r="F23" s="16">
        <f>12876/(1.18)</f>
        <v>10911.864406779661</v>
      </c>
      <c r="G23" s="16">
        <f>11264/(1.18)</f>
        <v>9545.7627118644068</v>
      </c>
      <c r="H23" s="16">
        <f>14710/(1.18)</f>
        <v>12466.101694915254</v>
      </c>
      <c r="J23" s="15">
        <v>40</v>
      </c>
      <c r="K23" s="29" t="s">
        <v>10</v>
      </c>
      <c r="L23" s="29">
        <f>15458/(1.18)</f>
        <v>13100</v>
      </c>
      <c r="M23" s="29">
        <f>23010/(1.18)</f>
        <v>19500</v>
      </c>
      <c r="N23" s="29">
        <f>27789/(1.18)</f>
        <v>23550</v>
      </c>
      <c r="O23" s="29" t="s">
        <v>10</v>
      </c>
      <c r="P23" s="29">
        <f>27789/(1.18)</f>
        <v>23550</v>
      </c>
      <c r="Q23" s="29" t="s">
        <v>10</v>
      </c>
    </row>
    <row r="24" spans="1:17" x14ac:dyDescent="0.25">
      <c r="A24" s="15">
        <v>50</v>
      </c>
      <c r="B24" s="16">
        <f>17470/(1.18)</f>
        <v>14805.084745762713</v>
      </c>
      <c r="C24" s="16">
        <f>16750/(1.18)</f>
        <v>14194.915254237289</v>
      </c>
      <c r="D24" s="16">
        <f>21138/(1.18)</f>
        <v>17913.5593220339</v>
      </c>
      <c r="E24" s="16">
        <f>24067/(1.18)</f>
        <v>20395.762711864409</v>
      </c>
      <c r="F24" s="16" t="s">
        <v>10</v>
      </c>
      <c r="G24" s="16">
        <f>18287/(1.18)</f>
        <v>15497.457627118645</v>
      </c>
      <c r="H24" s="16">
        <f>24067/(1.18)</f>
        <v>20395.762711864409</v>
      </c>
      <c r="J24" s="15">
        <v>50</v>
      </c>
      <c r="K24" s="29" t="s">
        <v>10</v>
      </c>
      <c r="L24" s="29">
        <f>39058/(1.18)</f>
        <v>33100</v>
      </c>
      <c r="M24" s="29" t="s">
        <v>10</v>
      </c>
      <c r="N24" s="29" t="s">
        <v>10</v>
      </c>
      <c r="O24" s="29" t="s">
        <v>10</v>
      </c>
      <c r="P24" s="29">
        <f>46905/(1.18)</f>
        <v>39750</v>
      </c>
      <c r="Q24" s="29" t="s">
        <v>10</v>
      </c>
    </row>
    <row r="25" spans="1:17" x14ac:dyDescent="0.25">
      <c r="K25" s="28"/>
      <c r="L25" s="28"/>
      <c r="M25" s="28"/>
      <c r="N25" s="28"/>
      <c r="O25" s="28"/>
      <c r="P25" s="28"/>
      <c r="Q25" s="28"/>
    </row>
    <row r="26" spans="1:17" x14ac:dyDescent="0.25">
      <c r="A26" s="4" t="s">
        <v>3</v>
      </c>
      <c r="B26" s="32" t="s">
        <v>44</v>
      </c>
      <c r="C26" s="33"/>
      <c r="D26" s="33"/>
      <c r="E26" s="33"/>
      <c r="F26" s="33"/>
      <c r="G26" s="33"/>
      <c r="H26" s="34"/>
      <c r="J26" s="4" t="s">
        <v>3</v>
      </c>
      <c r="K26" s="49" t="s">
        <v>27</v>
      </c>
      <c r="L26" s="50"/>
      <c r="M26" s="50"/>
      <c r="N26" s="50"/>
      <c r="O26" s="50"/>
      <c r="P26" s="50"/>
      <c r="Q26" s="50"/>
    </row>
    <row r="27" spans="1:17" x14ac:dyDescent="0.25">
      <c r="A27" s="4" t="s">
        <v>5</v>
      </c>
      <c r="B27" s="32" t="s">
        <v>22</v>
      </c>
      <c r="C27" s="33"/>
      <c r="D27" s="33"/>
      <c r="E27" s="33"/>
      <c r="F27" s="33"/>
      <c r="G27" s="33"/>
      <c r="H27" s="34"/>
      <c r="J27" s="4" t="s">
        <v>5</v>
      </c>
      <c r="K27" s="49" t="s">
        <v>32</v>
      </c>
      <c r="L27" s="50"/>
      <c r="M27" s="50"/>
      <c r="N27" s="50"/>
      <c r="O27" s="50"/>
      <c r="P27" s="50"/>
      <c r="Q27" s="51"/>
    </row>
    <row r="28" spans="1:17" x14ac:dyDescent="0.25">
      <c r="A28" s="35" t="s">
        <v>6</v>
      </c>
      <c r="B28" s="36"/>
      <c r="C28" s="36"/>
      <c r="D28" s="36"/>
      <c r="E28" s="36"/>
      <c r="F28" s="36"/>
      <c r="G28" s="36"/>
      <c r="H28" s="37"/>
      <c r="J28" s="35" t="s">
        <v>6</v>
      </c>
      <c r="K28" s="36"/>
      <c r="L28" s="36"/>
      <c r="M28" s="36"/>
      <c r="N28" s="36"/>
      <c r="O28" s="36"/>
      <c r="P28" s="36"/>
      <c r="Q28" s="37"/>
    </row>
    <row r="29" spans="1:17" x14ac:dyDescent="0.25">
      <c r="A29" s="15" t="s">
        <v>7</v>
      </c>
      <c r="B29" s="15">
        <v>5</v>
      </c>
      <c r="C29" s="15">
        <v>10</v>
      </c>
      <c r="D29" s="15">
        <v>20</v>
      </c>
      <c r="E29" s="15">
        <v>25</v>
      </c>
      <c r="F29" s="15">
        <v>30</v>
      </c>
      <c r="G29" s="15" t="s">
        <v>8</v>
      </c>
      <c r="H29" s="4" t="s">
        <v>9</v>
      </c>
      <c r="J29" s="15" t="s">
        <v>30</v>
      </c>
      <c r="K29" s="26">
        <v>5</v>
      </c>
      <c r="L29" s="26">
        <v>10</v>
      </c>
      <c r="M29" s="26">
        <v>20</v>
      </c>
      <c r="N29" s="26">
        <v>25</v>
      </c>
      <c r="O29" s="26">
        <v>30</v>
      </c>
      <c r="P29" s="26" t="s">
        <v>31</v>
      </c>
      <c r="Q29" s="26" t="s">
        <v>16</v>
      </c>
    </row>
    <row r="30" spans="1:17" x14ac:dyDescent="0.25">
      <c r="A30" s="15">
        <v>30</v>
      </c>
      <c r="B30" s="18">
        <f>5345/(1.18)</f>
        <v>4529.6610169491523</v>
      </c>
      <c r="C30" s="18">
        <f>4379/(1.18)</f>
        <v>3711.0169491525426</v>
      </c>
      <c r="D30" s="18">
        <f>4720/(1.18)</f>
        <v>4000</v>
      </c>
      <c r="E30" s="18">
        <f>5210/(1.18)</f>
        <v>4415.2542372881362</v>
      </c>
      <c r="F30" s="18">
        <f>5550/(1.18)</f>
        <v>4703.3898305084749</v>
      </c>
      <c r="G30" s="18">
        <f>6635/(1.18)</f>
        <v>5622.8813559322034</v>
      </c>
      <c r="H30" s="18" t="s">
        <v>10</v>
      </c>
      <c r="J30" s="15">
        <v>30</v>
      </c>
      <c r="K30" s="29" t="s">
        <v>10</v>
      </c>
      <c r="L30" s="29">
        <v>5450</v>
      </c>
      <c r="M30" s="29">
        <v>6200</v>
      </c>
      <c r="N30" s="29">
        <v>6550</v>
      </c>
      <c r="O30" s="29">
        <v>6800</v>
      </c>
      <c r="P30" s="29">
        <v>7000</v>
      </c>
      <c r="Q30" s="29" t="s">
        <v>10</v>
      </c>
    </row>
    <row r="31" spans="1:17" x14ac:dyDescent="0.25">
      <c r="A31" s="15">
        <v>40</v>
      </c>
      <c r="B31" s="18">
        <f>7556/(1.18)</f>
        <v>6403.3898305084749</v>
      </c>
      <c r="C31" s="18">
        <f>6935/(1.18)</f>
        <v>5877.1186440677966</v>
      </c>
      <c r="D31" s="18">
        <f>8514/(1.18)</f>
        <v>7215.2542372881362</v>
      </c>
      <c r="E31" s="18">
        <f>10036/(1.18)</f>
        <v>8505.0847457627115</v>
      </c>
      <c r="F31" s="18">
        <f>11472/(1.18)</f>
        <v>9722.033898305086</v>
      </c>
      <c r="G31" s="18">
        <f>10036/(1.18)</f>
        <v>8505.0847457627115</v>
      </c>
      <c r="H31" s="18">
        <f>13106/(1.18)</f>
        <v>11106.77966101695</v>
      </c>
      <c r="J31" s="15">
        <v>40</v>
      </c>
      <c r="K31" s="29" t="s">
        <v>10</v>
      </c>
      <c r="L31" s="29">
        <v>9900</v>
      </c>
      <c r="M31" s="29">
        <v>12300</v>
      </c>
      <c r="N31" s="29">
        <v>13100</v>
      </c>
      <c r="O31" s="29">
        <v>13800</v>
      </c>
      <c r="P31" s="29">
        <v>13100</v>
      </c>
      <c r="Q31" s="29" t="s">
        <v>10</v>
      </c>
    </row>
    <row r="32" spans="1:17" x14ac:dyDescent="0.25">
      <c r="A32" s="15">
        <v>50</v>
      </c>
      <c r="B32" s="18">
        <f>15564/(1.18)</f>
        <v>13189.830508474577</v>
      </c>
      <c r="C32" s="18">
        <f>14922/(1.18)</f>
        <v>12645.762711864407</v>
      </c>
      <c r="D32" s="18">
        <f>18835/(1.18)</f>
        <v>15961.864406779661</v>
      </c>
      <c r="E32" s="18">
        <f>21443/(1.18)</f>
        <v>18172.033898305086</v>
      </c>
      <c r="F32" s="18" t="s">
        <v>10</v>
      </c>
      <c r="G32" s="18">
        <f>16293/(1.18)</f>
        <v>13807.627118644068</v>
      </c>
      <c r="H32" s="18" t="s">
        <v>10</v>
      </c>
      <c r="J32" s="15">
        <v>50</v>
      </c>
      <c r="K32" s="29" t="s">
        <v>10</v>
      </c>
      <c r="L32" s="29">
        <v>23050</v>
      </c>
      <c r="M32" s="29">
        <v>28650</v>
      </c>
      <c r="N32" s="29" t="s">
        <v>10</v>
      </c>
      <c r="O32" s="29" t="s">
        <v>10</v>
      </c>
      <c r="P32" s="29">
        <v>25800</v>
      </c>
      <c r="Q32" s="29" t="s">
        <v>10</v>
      </c>
    </row>
    <row r="33" spans="1:17" x14ac:dyDescent="0.25">
      <c r="K33" s="28"/>
      <c r="L33" s="28"/>
      <c r="M33" s="28"/>
      <c r="N33" s="28"/>
      <c r="O33" s="28"/>
      <c r="P33" s="28"/>
      <c r="Q33" s="28"/>
    </row>
    <row r="34" spans="1:17" x14ac:dyDescent="0.25">
      <c r="K34" s="28"/>
      <c r="L34" s="28"/>
      <c r="M34" s="28"/>
      <c r="N34" s="28"/>
      <c r="O34" s="28"/>
      <c r="P34" s="28"/>
      <c r="Q34" s="28"/>
    </row>
    <row r="35" spans="1:17" x14ac:dyDescent="0.25">
      <c r="A35" s="4" t="s">
        <v>3</v>
      </c>
      <c r="B35" s="32" t="s">
        <v>41</v>
      </c>
      <c r="C35" s="33"/>
      <c r="D35" s="33"/>
      <c r="E35" s="33"/>
      <c r="F35" s="33"/>
      <c r="G35" s="33"/>
      <c r="H35" s="34"/>
      <c r="J35" s="4" t="s">
        <v>3</v>
      </c>
      <c r="K35" s="49" t="s">
        <v>47</v>
      </c>
      <c r="L35" s="50"/>
      <c r="M35" s="50"/>
      <c r="N35" s="50"/>
      <c r="O35" s="50"/>
      <c r="P35" s="50"/>
      <c r="Q35" s="51"/>
    </row>
    <row r="36" spans="1:17" x14ac:dyDescent="0.25">
      <c r="A36" s="4" t="s">
        <v>5</v>
      </c>
      <c r="B36" s="32" t="s">
        <v>42</v>
      </c>
      <c r="C36" s="33"/>
      <c r="D36" s="33"/>
      <c r="E36" s="33"/>
      <c r="F36" s="33"/>
      <c r="G36" s="33"/>
      <c r="H36" s="34"/>
      <c r="J36" s="4" t="s">
        <v>5</v>
      </c>
      <c r="K36" s="32" t="s">
        <v>34</v>
      </c>
      <c r="L36" s="33"/>
      <c r="M36" s="33"/>
      <c r="N36" s="33"/>
      <c r="O36" s="33"/>
      <c r="P36" s="33"/>
      <c r="Q36" s="34"/>
    </row>
    <row r="37" spans="1:17" x14ac:dyDescent="0.25">
      <c r="A37" s="35" t="s">
        <v>6</v>
      </c>
      <c r="B37" s="36"/>
      <c r="C37" s="36"/>
      <c r="D37" s="36"/>
      <c r="E37" s="36"/>
      <c r="F37" s="36"/>
      <c r="G37" s="36"/>
      <c r="H37" s="37"/>
      <c r="J37" s="35" t="s">
        <v>6</v>
      </c>
      <c r="K37" s="36"/>
      <c r="L37" s="36"/>
      <c r="M37" s="36"/>
      <c r="N37" s="36"/>
      <c r="O37" s="36"/>
      <c r="P37" s="36"/>
      <c r="Q37" s="37"/>
    </row>
    <row r="38" spans="1:17" x14ac:dyDescent="0.25">
      <c r="A38" s="15" t="s">
        <v>7</v>
      </c>
      <c r="B38" s="15">
        <v>5</v>
      </c>
      <c r="C38" s="15">
        <v>10</v>
      </c>
      <c r="D38" s="15">
        <v>20</v>
      </c>
      <c r="E38" s="15">
        <v>25</v>
      </c>
      <c r="F38" s="15">
        <v>30</v>
      </c>
      <c r="G38" s="15" t="s">
        <v>8</v>
      </c>
      <c r="H38" s="4" t="s">
        <v>9</v>
      </c>
      <c r="J38" s="15" t="s">
        <v>7</v>
      </c>
      <c r="K38" s="26">
        <v>5</v>
      </c>
      <c r="L38" s="26">
        <v>10</v>
      </c>
      <c r="M38" s="26">
        <v>20</v>
      </c>
      <c r="N38" s="26">
        <v>25</v>
      </c>
      <c r="O38" s="26">
        <v>30</v>
      </c>
      <c r="P38" s="26" t="s">
        <v>26</v>
      </c>
      <c r="Q38" s="26" t="s">
        <v>16</v>
      </c>
    </row>
    <row r="39" spans="1:17" x14ac:dyDescent="0.25">
      <c r="A39" s="15">
        <v>30</v>
      </c>
      <c r="B39" s="20" t="s">
        <v>10</v>
      </c>
      <c r="C39" s="20">
        <v>4781</v>
      </c>
      <c r="D39" s="20">
        <v>4887</v>
      </c>
      <c r="E39" s="20">
        <v>5399</v>
      </c>
      <c r="F39" s="20">
        <v>6230</v>
      </c>
      <c r="G39" s="20" t="s">
        <v>10</v>
      </c>
      <c r="H39" s="20" t="s">
        <v>10</v>
      </c>
      <c r="J39" s="15">
        <v>30</v>
      </c>
      <c r="K39" s="29" t="s">
        <v>10</v>
      </c>
      <c r="L39" s="29">
        <f>4248/(1.18)</f>
        <v>3600</v>
      </c>
      <c r="M39" s="29">
        <f>4661/(1.18)</f>
        <v>3950</v>
      </c>
      <c r="N39" s="29">
        <f>5074/(1.18)</f>
        <v>4300</v>
      </c>
      <c r="O39" s="29">
        <f>5428/(1.18)</f>
        <v>4600</v>
      </c>
      <c r="P39" s="29">
        <f>5841/(1.18)</f>
        <v>4950</v>
      </c>
      <c r="Q39" s="29">
        <f>6844/(1.18)</f>
        <v>5800</v>
      </c>
    </row>
    <row r="40" spans="1:17" x14ac:dyDescent="0.25">
      <c r="A40" s="15">
        <v>40</v>
      </c>
      <c r="B40" s="20">
        <v>6712</v>
      </c>
      <c r="C40" s="20">
        <v>6748</v>
      </c>
      <c r="D40" s="20">
        <v>8555</v>
      </c>
      <c r="E40" s="3">
        <v>10077</v>
      </c>
      <c r="F40" s="20">
        <v>12020</v>
      </c>
      <c r="G40" s="3">
        <v>10077</v>
      </c>
      <c r="H40" s="20" t="s">
        <v>10</v>
      </c>
      <c r="J40" s="15">
        <v>40</v>
      </c>
      <c r="K40" s="29" t="s">
        <v>10</v>
      </c>
      <c r="L40" s="29">
        <f>6431/(1.18)</f>
        <v>5450</v>
      </c>
      <c r="M40" s="29">
        <f>8201/(1.18)</f>
        <v>6950</v>
      </c>
      <c r="N40" s="29">
        <f>9086/(1.18)</f>
        <v>7700</v>
      </c>
      <c r="O40" s="29">
        <f>9971/(1.18)</f>
        <v>8450</v>
      </c>
      <c r="P40" s="29">
        <f>9086/(1.18)</f>
        <v>7700</v>
      </c>
      <c r="Q40" s="29">
        <f>10797/(1.18)</f>
        <v>9150</v>
      </c>
    </row>
    <row r="41" spans="1:17" x14ac:dyDescent="0.25">
      <c r="A41" s="15">
        <v>50</v>
      </c>
      <c r="B41" s="20">
        <v>12510</v>
      </c>
      <c r="C41" s="20">
        <v>13461</v>
      </c>
      <c r="D41" s="20">
        <v>17760</v>
      </c>
      <c r="E41" s="20">
        <v>21227</v>
      </c>
      <c r="F41" s="20" t="s">
        <v>10</v>
      </c>
      <c r="G41" s="20">
        <v>15167</v>
      </c>
      <c r="H41" s="20">
        <v>21227</v>
      </c>
      <c r="J41" s="15">
        <v>50</v>
      </c>
      <c r="K41" s="29" t="s">
        <v>10</v>
      </c>
      <c r="L41" s="29">
        <f>13393/(1.18)</f>
        <v>11350</v>
      </c>
      <c r="M41" s="29">
        <f>16874/(1.18)</f>
        <v>14300</v>
      </c>
      <c r="N41" s="29">
        <f>18703/(1.18)</f>
        <v>15850</v>
      </c>
      <c r="O41" s="29">
        <f>20296/(1.18)</f>
        <v>17200</v>
      </c>
      <c r="P41" s="29">
        <f>15104/(1.18)</f>
        <v>12800</v>
      </c>
      <c r="Q41" s="29">
        <f>18703/(1.18)</f>
        <v>15850</v>
      </c>
    </row>
    <row r="42" spans="1:17" x14ac:dyDescent="0.25">
      <c r="K42" s="28"/>
      <c r="L42" s="28"/>
      <c r="M42" s="28"/>
      <c r="N42" s="28"/>
      <c r="O42" s="28"/>
      <c r="P42" s="28"/>
      <c r="Q42" s="28"/>
    </row>
    <row r="43" spans="1:17" x14ac:dyDescent="0.25">
      <c r="K43" s="28"/>
      <c r="L43" s="28"/>
      <c r="M43" s="28"/>
      <c r="N43" s="28"/>
      <c r="O43" s="28"/>
      <c r="P43" s="28"/>
      <c r="Q43" s="28"/>
    </row>
    <row r="44" spans="1:17" x14ac:dyDescent="0.25">
      <c r="A44" s="4" t="s">
        <v>3</v>
      </c>
      <c r="B44" s="32" t="s">
        <v>39</v>
      </c>
      <c r="C44" s="33"/>
      <c r="D44" s="33"/>
      <c r="E44" s="33"/>
      <c r="F44" s="33"/>
      <c r="G44" s="33"/>
      <c r="H44" s="34"/>
      <c r="J44" s="4" t="s">
        <v>3</v>
      </c>
      <c r="K44" s="49" t="s">
        <v>46</v>
      </c>
      <c r="L44" s="50"/>
      <c r="M44" s="50"/>
      <c r="N44" s="50"/>
      <c r="O44" s="50"/>
      <c r="P44" s="50"/>
      <c r="Q44" s="51"/>
    </row>
    <row r="45" spans="1:17" x14ac:dyDescent="0.25">
      <c r="A45" s="4" t="s">
        <v>5</v>
      </c>
      <c r="B45" s="32" t="s">
        <v>40</v>
      </c>
      <c r="C45" s="33"/>
      <c r="D45" s="33"/>
      <c r="E45" s="33"/>
      <c r="F45" s="33"/>
      <c r="G45" s="33"/>
      <c r="H45" s="34"/>
      <c r="J45" s="4" t="s">
        <v>5</v>
      </c>
      <c r="K45" s="32" t="s">
        <v>37</v>
      </c>
      <c r="L45" s="33"/>
      <c r="M45" s="33"/>
      <c r="N45" s="33"/>
      <c r="O45" s="33"/>
      <c r="P45" s="33"/>
      <c r="Q45" s="34"/>
    </row>
    <row r="46" spans="1:17" x14ac:dyDescent="0.25">
      <c r="A46" s="12"/>
      <c r="B46" s="5" t="s">
        <v>6</v>
      </c>
      <c r="C46" s="6"/>
      <c r="D46" s="6"/>
      <c r="E46" s="6"/>
      <c r="F46" s="6"/>
      <c r="G46" s="6"/>
      <c r="H46" s="7"/>
      <c r="J46" s="35" t="s">
        <v>6</v>
      </c>
      <c r="K46" s="36"/>
      <c r="L46" s="36"/>
      <c r="M46" s="36"/>
      <c r="N46" s="36"/>
      <c r="O46" s="36"/>
      <c r="P46" s="36"/>
      <c r="Q46" s="37"/>
    </row>
    <row r="47" spans="1:17" x14ac:dyDescent="0.25">
      <c r="A47" s="15" t="s">
        <v>7</v>
      </c>
      <c r="B47" s="15">
        <v>5</v>
      </c>
      <c r="C47" s="15">
        <v>10</v>
      </c>
      <c r="D47" s="15">
        <v>20</v>
      </c>
      <c r="E47" s="15">
        <v>25</v>
      </c>
      <c r="F47" s="15">
        <v>30</v>
      </c>
      <c r="G47" s="15" t="s">
        <v>8</v>
      </c>
      <c r="H47" s="4" t="s">
        <v>9</v>
      </c>
      <c r="J47" s="15" t="s">
        <v>7</v>
      </c>
      <c r="K47" s="26">
        <v>5</v>
      </c>
      <c r="L47" s="26">
        <v>10</v>
      </c>
      <c r="M47" s="26">
        <v>20</v>
      </c>
      <c r="N47" s="26">
        <v>25</v>
      </c>
      <c r="O47" s="26">
        <v>30</v>
      </c>
      <c r="P47" s="26" t="s">
        <v>26</v>
      </c>
      <c r="Q47" s="26" t="s">
        <v>16</v>
      </c>
    </row>
    <row r="48" spans="1:17" x14ac:dyDescent="0.25">
      <c r="A48" s="15">
        <v>30</v>
      </c>
      <c r="B48" s="20" t="s">
        <v>10</v>
      </c>
      <c r="C48" s="20">
        <v>3840</v>
      </c>
      <c r="D48" s="20">
        <v>4235</v>
      </c>
      <c r="E48" s="20">
        <v>4710</v>
      </c>
      <c r="F48" s="20">
        <v>5245</v>
      </c>
      <c r="G48" s="20">
        <v>5825</v>
      </c>
      <c r="H48" s="20" t="s">
        <v>10</v>
      </c>
      <c r="J48" s="15">
        <v>30</v>
      </c>
      <c r="K48" s="30" t="s">
        <v>10</v>
      </c>
      <c r="L48" s="30">
        <v>5900</v>
      </c>
      <c r="M48" s="30">
        <v>6200</v>
      </c>
      <c r="N48" s="30">
        <v>6500</v>
      </c>
      <c r="O48" s="30">
        <v>7050</v>
      </c>
      <c r="P48" s="30">
        <v>7800</v>
      </c>
      <c r="Q48" s="30" t="s">
        <v>10</v>
      </c>
    </row>
    <row r="49" spans="1:17" x14ac:dyDescent="0.25">
      <c r="A49" s="15">
        <v>40</v>
      </c>
      <c r="B49" s="20" t="s">
        <v>10</v>
      </c>
      <c r="C49" s="20">
        <v>6330</v>
      </c>
      <c r="D49" s="20">
        <v>8110</v>
      </c>
      <c r="E49" s="20">
        <v>9160</v>
      </c>
      <c r="F49" s="20">
        <v>10270</v>
      </c>
      <c r="G49" s="20">
        <v>9160</v>
      </c>
      <c r="H49" s="20">
        <v>11595</v>
      </c>
      <c r="J49" s="15">
        <v>40</v>
      </c>
      <c r="K49" s="30" t="s">
        <v>10</v>
      </c>
      <c r="L49" s="30">
        <v>8650</v>
      </c>
      <c r="M49" s="30">
        <v>10150</v>
      </c>
      <c r="N49" s="30">
        <v>11300</v>
      </c>
      <c r="O49" s="30">
        <v>12800</v>
      </c>
      <c r="P49" s="30">
        <v>11300</v>
      </c>
      <c r="Q49" s="30">
        <v>14600</v>
      </c>
    </row>
    <row r="50" spans="1:17" x14ac:dyDescent="0.25">
      <c r="A50" s="15">
        <v>50</v>
      </c>
      <c r="B50" s="20" t="s">
        <v>10</v>
      </c>
      <c r="C50" s="20">
        <v>14350</v>
      </c>
      <c r="D50" s="20">
        <v>19500</v>
      </c>
      <c r="E50" s="20">
        <v>22500</v>
      </c>
      <c r="F50" s="20">
        <v>22540</v>
      </c>
      <c r="G50" s="20">
        <v>16250</v>
      </c>
      <c r="H50" s="20">
        <v>22500</v>
      </c>
      <c r="J50" s="15">
        <v>50</v>
      </c>
      <c r="K50" s="30" t="s">
        <v>10</v>
      </c>
      <c r="L50" s="30">
        <v>17700</v>
      </c>
      <c r="M50" s="30">
        <v>21300</v>
      </c>
      <c r="N50" s="30">
        <v>23950</v>
      </c>
      <c r="O50" s="30" t="s">
        <v>10</v>
      </c>
      <c r="P50" s="30">
        <v>18700</v>
      </c>
      <c r="Q50" s="30">
        <v>23950</v>
      </c>
    </row>
    <row r="51" spans="1:17" x14ac:dyDescent="0.25">
      <c r="K51" s="28"/>
      <c r="L51" s="28"/>
      <c r="M51" s="28"/>
      <c r="N51" s="28"/>
      <c r="O51" s="28"/>
      <c r="P51" s="28"/>
      <c r="Q51" s="28"/>
    </row>
    <row r="52" spans="1:17" x14ac:dyDescent="0.25">
      <c r="K52" s="28"/>
      <c r="L52" s="28"/>
      <c r="M52" s="28"/>
      <c r="N52" s="28"/>
      <c r="O52" s="28"/>
      <c r="P52" s="28"/>
      <c r="Q52" s="28"/>
    </row>
    <row r="53" spans="1:17" x14ac:dyDescent="0.25">
      <c r="K53" s="28"/>
      <c r="L53" s="28"/>
      <c r="M53" s="28"/>
      <c r="N53" s="28"/>
      <c r="O53" s="28"/>
      <c r="P53" s="28"/>
      <c r="Q53" s="28"/>
    </row>
    <row r="54" spans="1:17" x14ac:dyDescent="0.25">
      <c r="K54" s="28"/>
      <c r="L54" s="28"/>
      <c r="M54" s="28"/>
      <c r="N54" s="28"/>
      <c r="O54" s="28"/>
      <c r="P54" s="28"/>
      <c r="Q54" s="28"/>
    </row>
    <row r="55" spans="1:17" x14ac:dyDescent="0.25">
      <c r="K55" s="28"/>
      <c r="L55" s="28"/>
      <c r="M55" s="28"/>
      <c r="N55" s="28"/>
      <c r="O55" s="28"/>
      <c r="P55" s="28"/>
      <c r="Q55" s="28"/>
    </row>
    <row r="56" spans="1:17" x14ac:dyDescent="0.25">
      <c r="K56" s="28"/>
      <c r="L56" s="28"/>
      <c r="M56" s="28"/>
      <c r="N56" s="28"/>
      <c r="O56" s="28"/>
      <c r="P56" s="28"/>
      <c r="Q56" s="28"/>
    </row>
    <row r="57" spans="1:17" x14ac:dyDescent="0.25">
      <c r="K57" s="28"/>
      <c r="L57" s="28"/>
      <c r="M57" s="28"/>
      <c r="N57" s="28"/>
      <c r="O57" s="28"/>
      <c r="P57" s="28"/>
      <c r="Q57" s="28"/>
    </row>
    <row r="58" spans="1:17" x14ac:dyDescent="0.25">
      <c r="K58" s="28"/>
      <c r="L58" s="28"/>
      <c r="M58" s="28"/>
      <c r="N58" s="28"/>
      <c r="O58" s="28"/>
      <c r="P58" s="28"/>
      <c r="Q58" s="28"/>
    </row>
    <row r="59" spans="1:17" x14ac:dyDescent="0.25">
      <c r="K59" s="28"/>
      <c r="L59" s="28"/>
      <c r="M59" s="28"/>
      <c r="N59" s="28"/>
      <c r="O59" s="28"/>
      <c r="P59" s="28"/>
      <c r="Q59" s="28"/>
    </row>
    <row r="60" spans="1:17" x14ac:dyDescent="0.25">
      <c r="K60" s="28"/>
      <c r="L60" s="28"/>
      <c r="M60" s="28"/>
      <c r="N60" s="28"/>
      <c r="O60" s="28"/>
      <c r="P60" s="28"/>
      <c r="Q60" s="28"/>
    </row>
    <row r="61" spans="1:17" x14ac:dyDescent="0.25">
      <c r="K61" s="28"/>
      <c r="L61" s="28"/>
      <c r="M61" s="28"/>
      <c r="N61" s="28"/>
      <c r="O61" s="28"/>
      <c r="P61" s="28"/>
      <c r="Q61" s="28"/>
    </row>
    <row r="62" spans="1:17" x14ac:dyDescent="0.25">
      <c r="K62" s="28"/>
      <c r="L62" s="28"/>
      <c r="M62" s="28"/>
      <c r="N62" s="28"/>
      <c r="O62" s="28"/>
      <c r="P62" s="28"/>
      <c r="Q62" s="28"/>
    </row>
  </sheetData>
  <mergeCells count="36">
    <mergeCell ref="B45:H45"/>
    <mergeCell ref="K45:Q45"/>
    <mergeCell ref="J46:Q46"/>
    <mergeCell ref="K35:Q35"/>
    <mergeCell ref="K44:Q44"/>
    <mergeCell ref="K36:Q36"/>
    <mergeCell ref="B36:H36"/>
    <mergeCell ref="A37:H37"/>
    <mergeCell ref="J37:Q37"/>
    <mergeCell ref="B44:H44"/>
    <mergeCell ref="K2:Q2"/>
    <mergeCell ref="K3:Q3"/>
    <mergeCell ref="K4:Q4"/>
    <mergeCell ref="K11:Q11"/>
    <mergeCell ref="B35:H35"/>
    <mergeCell ref="K26:Q26"/>
    <mergeCell ref="K18:Q18"/>
    <mergeCell ref="K10:Q10"/>
    <mergeCell ref="K19:Q19"/>
    <mergeCell ref="K27:Q27"/>
    <mergeCell ref="A28:H28"/>
    <mergeCell ref="A20:H20"/>
    <mergeCell ref="J12:Q12"/>
    <mergeCell ref="B12:H12"/>
    <mergeCell ref="B18:H18"/>
    <mergeCell ref="B19:H19"/>
    <mergeCell ref="B26:H26"/>
    <mergeCell ref="B27:H27"/>
    <mergeCell ref="J28:Q28"/>
    <mergeCell ref="J20:Q20"/>
    <mergeCell ref="B11:H11"/>
    <mergeCell ref="A1:H1"/>
    <mergeCell ref="B2:H2"/>
    <mergeCell ref="B3:H3"/>
    <mergeCell ref="B4:H4"/>
    <mergeCell ref="B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Premium Rates_Comparison</vt:lpstr>
      <vt:lpstr>Premium 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PREKSHA SAWLA</dc:creator>
  <cp:lastModifiedBy>Sanghi Consultancy</cp:lastModifiedBy>
  <dcterms:created xsi:type="dcterms:W3CDTF">2018-03-29T13:20:13Z</dcterms:created>
  <dcterms:modified xsi:type="dcterms:W3CDTF">2018-04-16T06:32:04Z</dcterms:modified>
</cp:coreProperties>
</file>